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e-WiTQU\Desktop\統計年報\H29_e-stat\"/>
    </mc:Choice>
  </mc:AlternateContent>
  <bookViews>
    <workbookView xWindow="195" yWindow="90" windowWidth="15480" windowHeight="11640" tabRatio="895"/>
  </bookViews>
  <sheets>
    <sheet name="総-水路通報件数p58" sheetId="19" r:id="rId1"/>
    <sheet name="1 水路通報実施P59-61" sheetId="18" r:id="rId2"/>
    <sheet name="1 水路通報実施P62-68" sheetId="20" r:id="rId3"/>
    <sheet name="1 水路通報実施P69-72" sheetId="21" r:id="rId4"/>
    <sheet name="2(1)海図等P73" sheetId="22" r:id="rId5"/>
    <sheet name="2(2)書誌P74" sheetId="23" r:id="rId6"/>
  </sheets>
  <externalReferences>
    <externalReference r:id="rId7"/>
  </externalReferences>
  <definedNames>
    <definedName name="_xlnm._FilterDatabase" localSheetId="2" hidden="1">'1 水路通報実施P62-68'!$H$284:$X$296</definedName>
    <definedName name="_xlnm.Print_Area" localSheetId="1">'1 水路通報実施P59-61'!$A$1:$X$74</definedName>
    <definedName name="_xlnm.Print_Area" localSheetId="2">'1 水路通報実施P62-68'!$A$1:$X$213</definedName>
    <definedName name="_xlnm.Print_Area" localSheetId="3">'1 水路通報実施P69-72'!$A$1:$X$111</definedName>
    <definedName name="_xlnm.Print_Area" localSheetId="4">'2(1)海図等P73'!$A$1:$Y$18</definedName>
    <definedName name="_xlnm.Print_Area" localSheetId="5">'2(2)書誌P74'!$A$1:$U$8</definedName>
    <definedName name="_xlnm.Print_Area" localSheetId="0">'総-水路通報件数p58'!$A$1:$L$20</definedName>
  </definedNames>
  <calcPr calcId="152511"/>
</workbook>
</file>

<file path=xl/calcChain.xml><?xml version="1.0" encoding="utf-8"?>
<calcChain xmlns="http://schemas.openxmlformats.org/spreadsheetml/2006/main">
  <c r="D5" i="23" l="1"/>
  <c r="F5" i="23"/>
  <c r="G5" i="23"/>
  <c r="H5" i="23"/>
  <c r="I5" i="23"/>
  <c r="J5" i="23"/>
  <c r="K5" i="23"/>
  <c r="L5" i="23"/>
  <c r="M5" i="23"/>
  <c r="N5" i="23"/>
  <c r="O5" i="23"/>
  <c r="P5" i="23"/>
  <c r="Q5" i="23"/>
  <c r="R5" i="23"/>
  <c r="S5" i="23"/>
  <c r="T5" i="23"/>
  <c r="U5" i="23"/>
  <c r="B6" i="23"/>
  <c r="B5" i="23" s="1"/>
  <c r="C6" i="23"/>
  <c r="C5" i="23" s="1"/>
  <c r="Q6" i="23"/>
  <c r="B7" i="23"/>
  <c r="E7" i="23"/>
  <c r="C7" i="23" s="1"/>
  <c r="S7" i="23"/>
  <c r="B8" i="23"/>
  <c r="C8" i="23"/>
  <c r="D6" i="22"/>
  <c r="B6" i="22" s="1"/>
  <c r="E6" i="22"/>
  <c r="F6" i="22"/>
  <c r="G6" i="22"/>
  <c r="H6" i="22"/>
  <c r="I6" i="22"/>
  <c r="J6" i="22"/>
  <c r="K6" i="22"/>
  <c r="L6" i="22"/>
  <c r="M6" i="22"/>
  <c r="N6" i="22"/>
  <c r="O6" i="22"/>
  <c r="P6" i="22"/>
  <c r="Q6" i="22"/>
  <c r="R6" i="22"/>
  <c r="S6" i="22"/>
  <c r="T6" i="22"/>
  <c r="U6" i="22"/>
  <c r="V6" i="22"/>
  <c r="W6" i="22"/>
  <c r="X6" i="22"/>
  <c r="Y6" i="22"/>
  <c r="B7" i="22"/>
  <c r="C7" i="22"/>
  <c r="C6" i="22" s="1"/>
  <c r="B8" i="22"/>
  <c r="C8" i="22"/>
  <c r="B9" i="22"/>
  <c r="C9" i="22"/>
  <c r="B15" i="22"/>
  <c r="D15" i="22"/>
  <c r="F15" i="22"/>
  <c r="H15" i="22"/>
  <c r="J15" i="22"/>
  <c r="O6" i="21"/>
  <c r="H7" i="21"/>
  <c r="I8" i="21"/>
  <c r="I6" i="21"/>
  <c r="J8" i="21"/>
  <c r="J6" i="21"/>
  <c r="K8" i="21"/>
  <c r="K6" i="21"/>
  <c r="L8" i="21"/>
  <c r="L6" i="21"/>
  <c r="M8" i="21"/>
  <c r="M6" i="21"/>
  <c r="N8" i="21"/>
  <c r="N6" i="21"/>
  <c r="Q8" i="21"/>
  <c r="Q6" i="21"/>
  <c r="R8" i="21"/>
  <c r="R6" i="21"/>
  <c r="T8" i="21"/>
  <c r="T6" i="21"/>
  <c r="U8" i="21"/>
  <c r="X8" i="21"/>
  <c r="X6" i="21"/>
  <c r="K9" i="21"/>
  <c r="H9" i="21"/>
  <c r="L9" i="21"/>
  <c r="M9" i="21"/>
  <c r="P9" i="21"/>
  <c r="P6" i="21"/>
  <c r="Q9" i="21"/>
  <c r="R9" i="21"/>
  <c r="S9" i="21"/>
  <c r="T9" i="21"/>
  <c r="V9" i="21"/>
  <c r="V6" i="21"/>
  <c r="X9" i="21"/>
  <c r="H10" i="21"/>
  <c r="H11" i="21"/>
  <c r="H12" i="21"/>
  <c r="H13" i="21"/>
  <c r="H14" i="21"/>
  <c r="I15" i="21"/>
  <c r="H15" i="21"/>
  <c r="J15" i="21"/>
  <c r="K15" i="21"/>
  <c r="L15" i="21"/>
  <c r="M15" i="21"/>
  <c r="O15" i="21"/>
  <c r="Q15" i="21"/>
  <c r="R15" i="21"/>
  <c r="S15" i="21"/>
  <c r="S6" i="21"/>
  <c r="T15" i="21"/>
  <c r="U15" i="21"/>
  <c r="U6" i="21"/>
  <c r="W15" i="21"/>
  <c r="X15" i="21"/>
  <c r="I16" i="21"/>
  <c r="H16" i="21"/>
  <c r="K16" i="21"/>
  <c r="L16" i="21"/>
  <c r="M16" i="21"/>
  <c r="Q16" i="21"/>
  <c r="T16" i="21"/>
  <c r="W16" i="21"/>
  <c r="W6" i="21"/>
  <c r="X16" i="21"/>
  <c r="I17" i="21"/>
  <c r="K17" i="21"/>
  <c r="H17" i="21"/>
  <c r="L17" i="21"/>
  <c r="M17" i="21"/>
  <c r="P17" i="21"/>
  <c r="Q17" i="21"/>
  <c r="S17" i="21"/>
  <c r="X17" i="21"/>
  <c r="I18" i="21"/>
  <c r="H18" i="21"/>
  <c r="J18" i="21"/>
  <c r="K18" i="21"/>
  <c r="L18" i="21"/>
  <c r="M18" i="21"/>
  <c r="S18" i="21"/>
  <c r="T18" i="21"/>
  <c r="X18" i="21"/>
  <c r="H19" i="21"/>
  <c r="H20" i="21"/>
  <c r="H21" i="21"/>
  <c r="X21" i="21"/>
  <c r="H22" i="21"/>
  <c r="H23" i="21"/>
  <c r="H24" i="21"/>
  <c r="H25" i="21"/>
  <c r="H26" i="21"/>
  <c r="H31" i="21"/>
  <c r="H32" i="21"/>
  <c r="H33" i="21"/>
  <c r="H34" i="21"/>
  <c r="H35" i="21"/>
  <c r="H36" i="21"/>
  <c r="H37" i="21"/>
  <c r="H38" i="21"/>
  <c r="I39" i="21"/>
  <c r="H39" i="21"/>
  <c r="J39" i="21"/>
  <c r="L39" i="21"/>
  <c r="S39" i="21"/>
  <c r="X39" i="21"/>
  <c r="I40" i="21"/>
  <c r="H40" i="21"/>
  <c r="L40" i="21"/>
  <c r="N40" i="21"/>
  <c r="Q40" i="21"/>
  <c r="S40" i="21"/>
  <c r="X40" i="21"/>
  <c r="H41" i="21"/>
  <c r="J42" i="21"/>
  <c r="H42" i="21"/>
  <c r="K42" i="21"/>
  <c r="L42" i="21"/>
  <c r="S42" i="21"/>
  <c r="X42" i="21"/>
  <c r="L43" i="21"/>
  <c r="H43" i="21"/>
  <c r="N43" i="21"/>
  <c r="S43" i="21"/>
  <c r="X43" i="21"/>
  <c r="H44" i="21"/>
  <c r="H45" i="21"/>
  <c r="H46" i="21"/>
  <c r="H47" i="21"/>
  <c r="J48" i="21"/>
  <c r="M48" i="21"/>
  <c r="H48" i="21"/>
  <c r="S48" i="21"/>
  <c r="H49" i="21"/>
  <c r="H50" i="21"/>
  <c r="H51" i="21"/>
  <c r="I51" i="21"/>
  <c r="J51" i="21"/>
  <c r="S51" i="21"/>
  <c r="H52" i="21"/>
  <c r="J52" i="21"/>
  <c r="H53" i="21"/>
  <c r="H54" i="21"/>
  <c r="H60" i="21"/>
  <c r="H61" i="21"/>
  <c r="L62" i="21"/>
  <c r="S62" i="21"/>
  <c r="H62" i="21"/>
  <c r="H63" i="21"/>
  <c r="H64" i="21"/>
  <c r="H65" i="21"/>
  <c r="H66" i="21"/>
  <c r="H67" i="21"/>
  <c r="H68" i="21"/>
  <c r="H69" i="21"/>
  <c r="H70" i="21"/>
  <c r="H71" i="21"/>
  <c r="H72" i="21"/>
  <c r="H73" i="21"/>
  <c r="H74" i="21"/>
  <c r="I75" i="21"/>
  <c r="H75" i="21"/>
  <c r="L75" i="21"/>
  <c r="N75" i="21"/>
  <c r="S75" i="21"/>
  <c r="U75" i="21"/>
  <c r="X75" i="21"/>
  <c r="H76" i="21"/>
  <c r="H77" i="21"/>
  <c r="H78" i="21"/>
  <c r="H79" i="21"/>
  <c r="H80" i="21"/>
  <c r="J80" i="21"/>
  <c r="L80" i="21"/>
  <c r="H81" i="21"/>
  <c r="H82" i="21"/>
  <c r="H88" i="21"/>
  <c r="H89" i="21"/>
  <c r="H90" i="21"/>
  <c r="H91" i="21"/>
  <c r="X92" i="21"/>
  <c r="H92" i="21"/>
  <c r="H93" i="21"/>
  <c r="H94" i="21"/>
  <c r="H95" i="21"/>
  <c r="H96" i="21"/>
  <c r="H97" i="21"/>
  <c r="H98" i="21"/>
  <c r="H99" i="21"/>
  <c r="H100" i="21"/>
  <c r="H101" i="21"/>
  <c r="H102" i="21"/>
  <c r="S103" i="21"/>
  <c r="H103" i="21"/>
  <c r="H104" i="21"/>
  <c r="H105" i="21"/>
  <c r="H106" i="21"/>
  <c r="H107" i="21"/>
  <c r="H108" i="21"/>
  <c r="H109" i="21"/>
  <c r="H110" i="21"/>
  <c r="H111" i="21"/>
  <c r="J7" i="20"/>
  <c r="K7" i="20"/>
  <c r="M7" i="20"/>
  <c r="O7" i="20"/>
  <c r="P7" i="20"/>
  <c r="Q7" i="20"/>
  <c r="R7" i="20"/>
  <c r="T7" i="20"/>
  <c r="V7" i="20"/>
  <c r="W7" i="20"/>
  <c r="I8" i="20"/>
  <c r="H8" i="20"/>
  <c r="J8" i="20"/>
  <c r="K8" i="20"/>
  <c r="L8" i="20"/>
  <c r="M8" i="20"/>
  <c r="N8" i="20"/>
  <c r="O8" i="20"/>
  <c r="P8" i="20"/>
  <c r="Q8" i="20"/>
  <c r="R8" i="20"/>
  <c r="S8" i="20"/>
  <c r="T8" i="20"/>
  <c r="U8" i="20"/>
  <c r="V8" i="20"/>
  <c r="W8" i="20"/>
  <c r="X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71" i="20"/>
  <c r="H72" i="20"/>
  <c r="S73" i="20"/>
  <c r="H73" i="20"/>
  <c r="H74" i="20"/>
  <c r="H75" i="20"/>
  <c r="H76" i="20"/>
  <c r="H77" i="20"/>
  <c r="L77" i="20"/>
  <c r="L7" i="20"/>
  <c r="S77" i="20"/>
  <c r="X77" i="20"/>
  <c r="X7" i="20"/>
  <c r="H78" i="20"/>
  <c r="L79" i="20"/>
  <c r="H79" i="20"/>
  <c r="N79" i="20"/>
  <c r="N7" i="20"/>
  <c r="S79" i="20"/>
  <c r="X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I95" i="20"/>
  <c r="H95" i="20"/>
  <c r="S95" i="20"/>
  <c r="H96" i="20"/>
  <c r="H97" i="20"/>
  <c r="H98" i="20"/>
  <c r="H99" i="20"/>
  <c r="H100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9" i="20"/>
  <c r="H140" i="20"/>
  <c r="I141" i="20"/>
  <c r="H141" i="20"/>
  <c r="L141" i="20"/>
  <c r="N141" i="20"/>
  <c r="S141" i="20"/>
  <c r="U141" i="20"/>
  <c r="U7" i="20"/>
  <c r="X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9" i="20"/>
  <c r="H210" i="20"/>
  <c r="H211" i="20"/>
  <c r="H212" i="20"/>
  <c r="E15" i="19"/>
  <c r="K15" i="19"/>
  <c r="E11" i="19"/>
  <c r="K11" i="19"/>
  <c r="X9" i="18"/>
  <c r="E20" i="19"/>
  <c r="K20" i="19"/>
  <c r="W9" i="18"/>
  <c r="V9" i="18"/>
  <c r="U9" i="18"/>
  <c r="T9" i="18"/>
  <c r="E16" i="19"/>
  <c r="K16" i="19"/>
  <c r="S9" i="18"/>
  <c r="R9" i="18"/>
  <c r="Q9" i="18"/>
  <c r="P9" i="18"/>
  <c r="E12" i="19"/>
  <c r="K12" i="19"/>
  <c r="O9" i="18"/>
  <c r="N9" i="18"/>
  <c r="M9" i="18"/>
  <c r="L9" i="18"/>
  <c r="E8" i="19"/>
  <c r="K8" i="19"/>
  <c r="K9" i="18"/>
  <c r="J9" i="18"/>
  <c r="I9" i="18"/>
  <c r="H9" i="18"/>
  <c r="X8" i="18"/>
  <c r="W8" i="18"/>
  <c r="V8" i="18"/>
  <c r="U8" i="18"/>
  <c r="T8" i="18"/>
  <c r="S8" i="18"/>
  <c r="R8" i="18"/>
  <c r="Q8" i="18"/>
  <c r="P8" i="18"/>
  <c r="O8" i="18"/>
  <c r="N8" i="18"/>
  <c r="M8" i="18"/>
  <c r="L8" i="18"/>
  <c r="K8" i="18"/>
  <c r="J8" i="18"/>
  <c r="I8" i="18"/>
  <c r="H8" i="18"/>
  <c r="E18" i="19"/>
  <c r="K18" i="19"/>
  <c r="E14" i="19"/>
  <c r="K14" i="19"/>
  <c r="E7" i="19"/>
  <c r="K7" i="19"/>
  <c r="E6" i="19"/>
  <c r="K6" i="19"/>
  <c r="E19" i="19"/>
  <c r="K19" i="19"/>
  <c r="I10" i="18"/>
  <c r="J10" i="18"/>
  <c r="K10" i="18"/>
  <c r="L10" i="18"/>
  <c r="M10" i="18"/>
  <c r="N10" i="18"/>
  <c r="O10" i="18"/>
  <c r="P10" i="18"/>
  <c r="Q10" i="18"/>
  <c r="R10" i="18"/>
  <c r="S10" i="18"/>
  <c r="T10" i="18"/>
  <c r="U10" i="18"/>
  <c r="V10" i="18"/>
  <c r="W10" i="18"/>
  <c r="X10" i="18"/>
  <c r="H11" i="18"/>
  <c r="H12" i="18"/>
  <c r="H13" i="18"/>
  <c r="H14" i="18"/>
  <c r="H15" i="18"/>
  <c r="H16" i="18"/>
  <c r="H17" i="18"/>
  <c r="H10" i="18"/>
  <c r="H18" i="18"/>
  <c r="H19" i="18"/>
  <c r="H20" i="18"/>
  <c r="H21" i="18"/>
  <c r="I31" i="18"/>
  <c r="J31" i="18"/>
  <c r="K31" i="18"/>
  <c r="L31" i="18"/>
  <c r="M31" i="18"/>
  <c r="N31" i="18"/>
  <c r="O31" i="18"/>
  <c r="P31" i="18"/>
  <c r="Q31" i="18"/>
  <c r="R31" i="18"/>
  <c r="S31" i="18"/>
  <c r="T31" i="18"/>
  <c r="U31" i="18"/>
  <c r="V31" i="18"/>
  <c r="W31" i="18"/>
  <c r="X31" i="18"/>
  <c r="I32" i="18"/>
  <c r="J32" i="18"/>
  <c r="K32" i="18"/>
  <c r="L32" i="18"/>
  <c r="M32" i="18"/>
  <c r="N32" i="18"/>
  <c r="O32" i="18"/>
  <c r="P32" i="18"/>
  <c r="Q32" i="18"/>
  <c r="R32" i="18"/>
  <c r="S32" i="18"/>
  <c r="T32" i="18"/>
  <c r="U32" i="18"/>
  <c r="V32" i="18"/>
  <c r="W32" i="18"/>
  <c r="X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63" i="18"/>
  <c r="H64" i="18"/>
  <c r="H65" i="18"/>
  <c r="H66" i="18"/>
  <c r="H67" i="18"/>
  <c r="H68" i="18"/>
  <c r="H69" i="18"/>
  <c r="H70" i="18"/>
  <c r="H71" i="18"/>
  <c r="H72" i="18"/>
  <c r="H73" i="18"/>
  <c r="E10" i="19"/>
  <c r="K10" i="19"/>
  <c r="H32" i="18"/>
  <c r="H31" i="18"/>
  <c r="E9" i="19"/>
  <c r="K9" i="19"/>
  <c r="E13" i="19"/>
  <c r="K13" i="19"/>
  <c r="E17" i="19"/>
  <c r="K17" i="19"/>
  <c r="E5" i="19"/>
  <c r="K5" i="19"/>
  <c r="E4" i="19"/>
  <c r="K4" i="19"/>
  <c r="H8" i="21"/>
  <c r="H6" i="21"/>
  <c r="S7" i="20"/>
  <c r="I7" i="20"/>
  <c r="H7" i="20"/>
  <c r="E5" i="23" l="1"/>
</calcChain>
</file>

<file path=xl/sharedStrings.xml><?xml version="1.0" encoding="utf-8"?>
<sst xmlns="http://schemas.openxmlformats.org/spreadsheetml/2006/main" count="1351" uniqueCount="266">
  <si>
    <t>その他</t>
    <rPh sb="0" eb="3">
      <t>ソノタ</t>
    </rPh>
    <phoneticPr fontId="7"/>
  </si>
  <si>
    <t>出版</t>
    <rPh sb="0" eb="2">
      <t>シュッパン</t>
    </rPh>
    <phoneticPr fontId="7"/>
  </si>
  <si>
    <t>目標物</t>
    <rPh sb="0" eb="3">
      <t>モクヒョウブツ</t>
    </rPh>
    <phoneticPr fontId="7"/>
  </si>
  <si>
    <t>漁業</t>
    <rPh sb="0" eb="2">
      <t>ギョギョウ</t>
    </rPh>
    <phoneticPr fontId="7"/>
  </si>
  <si>
    <t>協力依頼</t>
    <rPh sb="0" eb="2">
      <t>キョウリョク</t>
    </rPh>
    <rPh sb="2" eb="4">
      <t>イライ</t>
    </rPh>
    <phoneticPr fontId="7"/>
  </si>
  <si>
    <t>禁止
制限又は</t>
    <rPh sb="0" eb="2">
      <t>キンシ</t>
    </rPh>
    <rPh sb="3" eb="5">
      <t>セイゲン</t>
    </rPh>
    <rPh sb="5" eb="6">
      <t>マタ</t>
    </rPh>
    <phoneticPr fontId="7"/>
  </si>
  <si>
    <t>えい航</t>
    <rPh sb="2" eb="3">
      <t>エイコウ</t>
    </rPh>
    <phoneticPr fontId="7"/>
  </si>
  <si>
    <t>海洋調査</t>
    <rPh sb="0" eb="2">
      <t>カイヨウ</t>
    </rPh>
    <rPh sb="2" eb="4">
      <t>チョウサ</t>
    </rPh>
    <phoneticPr fontId="7"/>
  </si>
  <si>
    <t>海洋施設</t>
    <rPh sb="0" eb="2">
      <t>カイヨウ</t>
    </rPh>
    <rPh sb="2" eb="4">
      <t>シセツ</t>
    </rPh>
    <phoneticPr fontId="7"/>
  </si>
  <si>
    <t>海底施設</t>
    <rPh sb="0" eb="2">
      <t>カイテイ</t>
    </rPh>
    <rPh sb="2" eb="4">
      <t>シセツ</t>
    </rPh>
    <phoneticPr fontId="7"/>
  </si>
  <si>
    <t>港湾施設</t>
    <rPh sb="0" eb="2">
      <t>コウワン</t>
    </rPh>
    <rPh sb="2" eb="4">
      <t>シセツ</t>
    </rPh>
    <phoneticPr fontId="7"/>
  </si>
  <si>
    <t>訓練・試験</t>
    <rPh sb="0" eb="2">
      <t>クンレン</t>
    </rPh>
    <rPh sb="3" eb="5">
      <t>シケン</t>
    </rPh>
    <phoneticPr fontId="7"/>
  </si>
  <si>
    <t>航路標識</t>
    <rPh sb="0" eb="2">
      <t>コウロ</t>
    </rPh>
    <rPh sb="2" eb="4">
      <t>ヒョウシキ</t>
    </rPh>
    <phoneticPr fontId="7"/>
  </si>
  <si>
    <t>漂流物等</t>
    <rPh sb="0" eb="3">
      <t>ヒョウリュウブツ</t>
    </rPh>
    <rPh sb="3" eb="4">
      <t>トウ</t>
    </rPh>
    <phoneticPr fontId="7"/>
  </si>
  <si>
    <t>自然現象</t>
    <rPh sb="0" eb="2">
      <t>シゼン</t>
    </rPh>
    <rPh sb="2" eb="4">
      <t>ゲンショウ</t>
    </rPh>
    <phoneticPr fontId="7"/>
  </si>
  <si>
    <t>水深</t>
    <rPh sb="0" eb="2">
      <t>スイシン</t>
    </rPh>
    <phoneticPr fontId="7"/>
  </si>
  <si>
    <t>合　　　　計</t>
    <rPh sb="0" eb="6">
      <t>ゴウケイ</t>
    </rPh>
    <phoneticPr fontId="7"/>
  </si>
  <si>
    <t>〃</t>
    <phoneticPr fontId="7"/>
  </si>
  <si>
    <t>第　十　一</t>
    <rPh sb="0" eb="1">
      <t>ダイ</t>
    </rPh>
    <rPh sb="2" eb="3">
      <t>ジュウ</t>
    </rPh>
    <rPh sb="4" eb="5">
      <t>イチ</t>
    </rPh>
    <phoneticPr fontId="7"/>
  </si>
  <si>
    <t>〃</t>
    <phoneticPr fontId="7"/>
  </si>
  <si>
    <t>第　　十</t>
    <rPh sb="0" eb="1">
      <t>ダイ</t>
    </rPh>
    <rPh sb="3" eb="4">
      <t>ジュウ</t>
    </rPh>
    <phoneticPr fontId="7"/>
  </si>
  <si>
    <t>第　　九</t>
    <rPh sb="0" eb="1">
      <t>ダイ</t>
    </rPh>
    <rPh sb="3" eb="4">
      <t>キュウ</t>
    </rPh>
    <phoneticPr fontId="7"/>
  </si>
  <si>
    <t>第　　八</t>
    <rPh sb="0" eb="1">
      <t>ダイ</t>
    </rPh>
    <rPh sb="3" eb="4">
      <t>ハチ</t>
    </rPh>
    <phoneticPr fontId="7"/>
  </si>
  <si>
    <t>〃</t>
    <phoneticPr fontId="7"/>
  </si>
  <si>
    <t>第　　七</t>
    <rPh sb="0" eb="1">
      <t>ダイ</t>
    </rPh>
    <rPh sb="3" eb="4">
      <t>ナナ</t>
    </rPh>
    <phoneticPr fontId="7"/>
  </si>
  <si>
    <t>第　　六</t>
    <rPh sb="0" eb="1">
      <t>ダイ</t>
    </rPh>
    <rPh sb="3" eb="4">
      <t>ロク</t>
    </rPh>
    <phoneticPr fontId="7"/>
  </si>
  <si>
    <t>第　　五</t>
    <rPh sb="0" eb="1">
      <t>ダイ</t>
    </rPh>
    <rPh sb="3" eb="4">
      <t>ゴ</t>
    </rPh>
    <phoneticPr fontId="7"/>
  </si>
  <si>
    <t>第　　四</t>
    <rPh sb="0" eb="1">
      <t>ダイ</t>
    </rPh>
    <rPh sb="3" eb="4">
      <t>ヨン</t>
    </rPh>
    <phoneticPr fontId="7"/>
  </si>
  <si>
    <t>第　　三</t>
    <rPh sb="0" eb="1">
      <t>ダイ</t>
    </rPh>
    <rPh sb="3" eb="4">
      <t>３</t>
    </rPh>
    <phoneticPr fontId="7"/>
  </si>
  <si>
    <t>第　　二</t>
    <rPh sb="0" eb="1">
      <t>ダイ</t>
    </rPh>
    <rPh sb="3" eb="4">
      <t>２</t>
    </rPh>
    <phoneticPr fontId="7"/>
  </si>
  <si>
    <t>管区海上保安本部</t>
    <rPh sb="0" eb="2">
      <t>カンク</t>
    </rPh>
    <rPh sb="2" eb="4">
      <t>カイジョウ</t>
    </rPh>
    <rPh sb="4" eb="6">
      <t>ホアン</t>
    </rPh>
    <rPh sb="6" eb="8">
      <t>ホンブ</t>
    </rPh>
    <phoneticPr fontId="7"/>
  </si>
  <si>
    <t>第　　一</t>
    <rPh sb="0" eb="1">
      <t>ダイ</t>
    </rPh>
    <rPh sb="3" eb="4">
      <t>イチ</t>
    </rPh>
    <phoneticPr fontId="7"/>
  </si>
  <si>
    <t>海洋情報部</t>
    <rPh sb="0" eb="2">
      <t>カイヨウ</t>
    </rPh>
    <rPh sb="2" eb="4">
      <t>ジョウホウ</t>
    </rPh>
    <rPh sb="4" eb="5">
      <t>ブ</t>
    </rPh>
    <phoneticPr fontId="7"/>
  </si>
  <si>
    <t>合　　　　　　　　計</t>
    <rPh sb="0" eb="10">
      <t>ゴウケイ</t>
    </rPh>
    <phoneticPr fontId="7"/>
  </si>
  <si>
    <t>件</t>
    <rPh sb="0" eb="1">
      <t>ケン</t>
    </rPh>
    <phoneticPr fontId="7"/>
  </si>
  <si>
    <t>　　　　　　　　　　　　　　　　　　事　項　別
　　通報資料出所別</t>
    <rPh sb="18" eb="19">
      <t>コト</t>
    </rPh>
    <rPh sb="20" eb="21">
      <t>コウ</t>
    </rPh>
    <rPh sb="22" eb="23">
      <t>ベツ</t>
    </rPh>
    <rPh sb="28" eb="30">
      <t>ツウホウ</t>
    </rPh>
    <rPh sb="30" eb="32">
      <t>シリョウ</t>
    </rPh>
    <rPh sb="32" eb="33">
      <t>デ</t>
    </rPh>
    <rPh sb="33" eb="34">
      <t>ショ</t>
    </rPh>
    <rPh sb="34" eb="35">
      <t>ベツ</t>
    </rPh>
    <phoneticPr fontId="7"/>
  </si>
  <si>
    <t>　　(2) 水路通報等資料出所別調査件数　　　</t>
    <rPh sb="6" eb="8">
      <t>スイロ</t>
    </rPh>
    <rPh sb="8" eb="10">
      <t>ツウホウ</t>
    </rPh>
    <rPh sb="10" eb="11">
      <t>トウ</t>
    </rPh>
    <rPh sb="11" eb="13">
      <t>シリョウ</t>
    </rPh>
    <rPh sb="13" eb="15">
      <t>シュッショ</t>
    </rPh>
    <rPh sb="15" eb="16">
      <t>ベツ</t>
    </rPh>
    <rPh sb="16" eb="18">
      <t>チョウサ</t>
    </rPh>
    <rPh sb="18" eb="20">
      <t>ケンスウ</t>
    </rPh>
    <phoneticPr fontId="7"/>
  </si>
  <si>
    <t>(英　 語)</t>
    <rPh sb="1" eb="2">
      <t>エイ</t>
    </rPh>
    <rPh sb="4" eb="5">
      <t>ゴ</t>
    </rPh>
    <phoneticPr fontId="7"/>
  </si>
  <si>
    <t>　 　　　　 　　〃</t>
    <phoneticPr fontId="7"/>
  </si>
  <si>
    <t>(日本語)</t>
    <rPh sb="1" eb="4">
      <t>ニホンゴ</t>
    </rPh>
    <phoneticPr fontId="7"/>
  </si>
  <si>
    <t>十一　　 　 　〃</t>
    <rPh sb="0" eb="2">
      <t>１１</t>
    </rPh>
    <phoneticPr fontId="7"/>
  </si>
  <si>
    <t>十　　　　 　　〃</t>
    <rPh sb="0" eb="1">
      <t>１０</t>
    </rPh>
    <phoneticPr fontId="7"/>
  </si>
  <si>
    <t>九　　　　 　　〃</t>
    <rPh sb="0" eb="1">
      <t>９</t>
    </rPh>
    <phoneticPr fontId="7"/>
  </si>
  <si>
    <t>八　　　　 　　〃</t>
    <rPh sb="0" eb="1">
      <t>８</t>
    </rPh>
    <phoneticPr fontId="7"/>
  </si>
  <si>
    <t>七　　　　 　　〃</t>
    <rPh sb="0" eb="1">
      <t>７</t>
    </rPh>
    <phoneticPr fontId="7"/>
  </si>
  <si>
    <t>六　　　　 　　〃</t>
    <rPh sb="0" eb="1">
      <t>６</t>
    </rPh>
    <phoneticPr fontId="7"/>
  </si>
  <si>
    <t>五　　　　 　　〃</t>
    <rPh sb="0" eb="1">
      <t>５</t>
    </rPh>
    <phoneticPr fontId="7"/>
  </si>
  <si>
    <t>四　　　　 　　〃</t>
    <rPh sb="0" eb="1">
      <t>４</t>
    </rPh>
    <phoneticPr fontId="7"/>
  </si>
  <si>
    <t>三　　　　 　　〃</t>
    <rPh sb="0" eb="1">
      <t>３</t>
    </rPh>
    <phoneticPr fontId="7"/>
  </si>
  <si>
    <t>二　　　　 　　〃</t>
    <rPh sb="0" eb="1">
      <t>ニ</t>
    </rPh>
    <phoneticPr fontId="7"/>
  </si>
  <si>
    <t>(英 　語)</t>
    <rPh sb="1" eb="2">
      <t>エイ</t>
    </rPh>
    <rPh sb="4" eb="5">
      <t>ゴ</t>
    </rPh>
    <phoneticPr fontId="7"/>
  </si>
  <si>
    <t xml:space="preserve">                   〃</t>
    <phoneticPr fontId="7"/>
  </si>
  <si>
    <t>一管区地域航行警報</t>
    <rPh sb="0" eb="1">
      <t>イチ</t>
    </rPh>
    <rPh sb="1" eb="2">
      <t>カン</t>
    </rPh>
    <rPh sb="2" eb="3">
      <t>ク</t>
    </rPh>
    <rPh sb="3" eb="4">
      <t>チ</t>
    </rPh>
    <rPh sb="4" eb="5">
      <t>イキ</t>
    </rPh>
    <rPh sb="5" eb="6">
      <t>コウ</t>
    </rPh>
    <rPh sb="6" eb="7">
      <t>ギョウ</t>
    </rPh>
    <rPh sb="7" eb="9">
      <t>ケイホウ</t>
    </rPh>
    <phoneticPr fontId="7"/>
  </si>
  <si>
    <t>(英 　語) 計</t>
    <rPh sb="1" eb="2">
      <t>エイコ</t>
    </rPh>
    <rPh sb="4" eb="5">
      <t>ニホンゴ</t>
    </rPh>
    <rPh sb="7" eb="8">
      <t>ケイ</t>
    </rPh>
    <phoneticPr fontId="7"/>
  </si>
  <si>
    <t>(日本語) 計</t>
    <rPh sb="1" eb="4">
      <t>ニホンゴ</t>
    </rPh>
    <rPh sb="6" eb="7">
      <t>ケイ</t>
    </rPh>
    <phoneticPr fontId="7"/>
  </si>
  <si>
    <t>管区地域航行警報</t>
    <rPh sb="0" eb="2">
      <t>カンク</t>
    </rPh>
    <rPh sb="2" eb="4">
      <t>チイキ</t>
    </rPh>
    <rPh sb="4" eb="6">
      <t>コウコウ</t>
    </rPh>
    <rPh sb="6" eb="8">
      <t>ケイホウ</t>
    </rPh>
    <phoneticPr fontId="7"/>
  </si>
  <si>
    <t>ＮＡＶＴＥＸ航行警報</t>
    <rPh sb="6" eb="8">
      <t>コウコウ</t>
    </rPh>
    <rPh sb="8" eb="10">
      <t>ケイホウ</t>
    </rPh>
    <phoneticPr fontId="7"/>
  </si>
  <si>
    <t>ＮＡＶＡＲＥＡ ＸＩ 航行警報</t>
    <rPh sb="11" eb="13">
      <t>コウコウ</t>
    </rPh>
    <rPh sb="13" eb="15">
      <t>ケイホウ</t>
    </rPh>
    <phoneticPr fontId="7"/>
  </si>
  <si>
    <t>日本航行警報</t>
    <rPh sb="0" eb="2">
      <t>ニホン</t>
    </rPh>
    <rPh sb="2" eb="4">
      <t>コウコウ</t>
    </rPh>
    <rPh sb="4" eb="6">
      <t>ケイホウ</t>
    </rPh>
    <phoneticPr fontId="7"/>
  </si>
  <si>
    <t>　　　　　　　　　　　　　　　　　　事　項　別
　　手　段　別</t>
    <rPh sb="18" eb="19">
      <t>コト</t>
    </rPh>
    <rPh sb="20" eb="21">
      <t>コウ</t>
    </rPh>
    <rPh sb="22" eb="23">
      <t>ベツ</t>
    </rPh>
    <rPh sb="28" eb="29">
      <t>テ</t>
    </rPh>
    <rPh sb="30" eb="31">
      <t>ダン</t>
    </rPh>
    <rPh sb="32" eb="33">
      <t>ベツ</t>
    </rPh>
    <phoneticPr fontId="7"/>
  </si>
  <si>
    <t>十一　　　〃</t>
    <rPh sb="0" eb="2">
      <t>11</t>
    </rPh>
    <phoneticPr fontId="7"/>
  </si>
  <si>
    <t>十　　　　　〃　　　　</t>
    <rPh sb="0" eb="1">
      <t>１０</t>
    </rPh>
    <phoneticPr fontId="7"/>
  </si>
  <si>
    <t>九　　　　　〃　　　　</t>
    <rPh sb="0" eb="1">
      <t>９</t>
    </rPh>
    <phoneticPr fontId="7"/>
  </si>
  <si>
    <t>八　　　　　〃　　　　</t>
    <rPh sb="0" eb="1">
      <t>８</t>
    </rPh>
    <phoneticPr fontId="7"/>
  </si>
  <si>
    <t>七　　　　　〃　　　　</t>
    <rPh sb="0" eb="1">
      <t>７</t>
    </rPh>
    <phoneticPr fontId="7"/>
  </si>
  <si>
    <t>六　　　　　〃　　　　</t>
    <rPh sb="0" eb="1">
      <t>６</t>
    </rPh>
    <phoneticPr fontId="7"/>
  </si>
  <si>
    <t>五　　　　　〃　　　　</t>
    <rPh sb="0" eb="1">
      <t>５</t>
    </rPh>
    <phoneticPr fontId="7"/>
  </si>
  <si>
    <t>四　　　　　〃　　　　</t>
    <rPh sb="0" eb="1">
      <t>４</t>
    </rPh>
    <phoneticPr fontId="7"/>
  </si>
  <si>
    <t>三　　　　　〃　　　　</t>
    <rPh sb="0" eb="1">
      <t>３</t>
    </rPh>
    <phoneticPr fontId="7"/>
  </si>
  <si>
    <t>二　　　　　〃　　　　</t>
    <rPh sb="0" eb="1">
      <t>ニ</t>
    </rPh>
    <phoneticPr fontId="7"/>
  </si>
  <si>
    <t>（日本語）</t>
    <rPh sb="1" eb="4">
      <t>ニホンゴ</t>
    </rPh>
    <phoneticPr fontId="7"/>
  </si>
  <si>
    <t>一管区水路通報</t>
    <rPh sb="0" eb="1">
      <t>イチ</t>
    </rPh>
    <rPh sb="1" eb="3">
      <t>カンク</t>
    </rPh>
    <rPh sb="3" eb="5">
      <t>スイロ</t>
    </rPh>
    <rPh sb="5" eb="7">
      <t>ツウホウ</t>
    </rPh>
    <phoneticPr fontId="7"/>
  </si>
  <si>
    <t>計</t>
    <rPh sb="0" eb="1">
      <t>ケイ</t>
    </rPh>
    <phoneticPr fontId="7"/>
  </si>
  <si>
    <t>管区水路通報</t>
    <rPh sb="0" eb="2">
      <t>カンク</t>
    </rPh>
    <rPh sb="2" eb="4">
      <t>スイロ</t>
    </rPh>
    <rPh sb="4" eb="6">
      <t>ツウホウ</t>
    </rPh>
    <phoneticPr fontId="7"/>
  </si>
  <si>
    <t>（英　　語）</t>
    <rPh sb="1" eb="2">
      <t>エイ</t>
    </rPh>
    <rPh sb="4" eb="5">
      <t>ゴ</t>
    </rPh>
    <phoneticPr fontId="7"/>
  </si>
  <si>
    <t>水路通報</t>
    <rPh sb="0" eb="2">
      <t>スイロ</t>
    </rPh>
    <rPh sb="2" eb="4">
      <t>ツウホウ</t>
    </rPh>
    <phoneticPr fontId="7"/>
  </si>
  <si>
    <t>合　　　　　　計</t>
    <rPh sb="0" eb="1">
      <t>ゴウ</t>
    </rPh>
    <rPh sb="7" eb="8">
      <t>ケイ</t>
    </rPh>
    <phoneticPr fontId="7"/>
  </si>
  <si>
    <t>　　(１) 水路通報等実施件数　　　</t>
    <rPh sb="6" eb="8">
      <t>スイロ</t>
    </rPh>
    <rPh sb="8" eb="10">
      <t>ツウホウ</t>
    </rPh>
    <rPh sb="10" eb="11">
      <t>トウ</t>
    </rPh>
    <rPh sb="11" eb="13">
      <t>ジッシ</t>
    </rPh>
    <rPh sb="13" eb="15">
      <t>ケンスウ</t>
    </rPh>
    <phoneticPr fontId="7"/>
  </si>
  <si>
    <t xml:space="preserve"> １　水路通報等実施状況</t>
    <rPh sb="3" eb="5">
      <t>スイロ</t>
    </rPh>
    <rPh sb="5" eb="7">
      <t>ツウホウ</t>
    </rPh>
    <rPh sb="7" eb="8">
      <t>トウ</t>
    </rPh>
    <rPh sb="8" eb="10">
      <t>ジッシ</t>
    </rPh>
    <rPh sb="10" eb="12">
      <t>ジョウキョウ</t>
    </rPh>
    <phoneticPr fontId="7"/>
  </si>
  <si>
    <t>制限又は禁止</t>
    <rPh sb="0" eb="2">
      <t>セイゲン</t>
    </rPh>
    <rPh sb="2" eb="3">
      <t>マタ</t>
    </rPh>
    <rPh sb="4" eb="6">
      <t>キンシ</t>
    </rPh>
    <phoneticPr fontId="7"/>
  </si>
  <si>
    <t>水路通報等実施件数</t>
    <rPh sb="0" eb="2">
      <t>スイロ</t>
    </rPh>
    <rPh sb="2" eb="4">
      <t>ツウホウ</t>
    </rPh>
    <rPh sb="4" eb="5">
      <t>トウ</t>
    </rPh>
    <rPh sb="5" eb="7">
      <t>ジッシケン</t>
    </rPh>
    <rPh sb="7" eb="8">
      <t>ケン</t>
    </rPh>
    <rPh sb="8" eb="9">
      <t>スウ</t>
    </rPh>
    <phoneticPr fontId="7"/>
  </si>
  <si>
    <t>対前年比</t>
    <rPh sb="0" eb="1">
      <t>タイ</t>
    </rPh>
    <rPh sb="1" eb="4">
      <t>ゼンネンヒ</t>
    </rPh>
    <phoneticPr fontId="7"/>
  </si>
  <si>
    <t>前年分</t>
    <rPh sb="0" eb="3">
      <t>ゼンネンブン</t>
    </rPh>
    <phoneticPr fontId="7"/>
  </si>
  <si>
    <t>本年分</t>
    <rPh sb="0" eb="2">
      <t>ホンネン</t>
    </rPh>
    <rPh sb="2" eb="3">
      <t>ブン</t>
    </rPh>
    <phoneticPr fontId="7"/>
  </si>
  <si>
    <t>区分</t>
    <rPh sb="0" eb="2">
      <t>クブン</t>
    </rPh>
    <phoneticPr fontId="7"/>
  </si>
  <si>
    <t>水路通報等実施件数比較表（対前年比）</t>
    <rPh sb="0" eb="2">
      <t>スイロ</t>
    </rPh>
    <rPh sb="2" eb="4">
      <t>ツウホウ</t>
    </rPh>
    <rPh sb="4" eb="5">
      <t>トウ</t>
    </rPh>
    <rPh sb="5" eb="7">
      <t>ジッシケン</t>
    </rPh>
    <rPh sb="7" eb="8">
      <t>ケン</t>
    </rPh>
    <rPh sb="8" eb="9">
      <t>スウ</t>
    </rPh>
    <rPh sb="9" eb="11">
      <t>ヒカク</t>
    </rPh>
    <rPh sb="11" eb="12">
      <t>ヒョウ</t>
    </rPh>
    <rPh sb="13" eb="14">
      <t>タイ</t>
    </rPh>
    <rPh sb="14" eb="16">
      <t>ゼンネン</t>
    </rPh>
    <rPh sb="16" eb="17">
      <t>ヒ</t>
    </rPh>
    <phoneticPr fontId="7"/>
  </si>
  <si>
    <t>第六部　水 路 統 計</t>
    <rPh sb="0" eb="1">
      <t>ダイ</t>
    </rPh>
    <rPh sb="1" eb="2">
      <t>６</t>
    </rPh>
    <rPh sb="2" eb="3">
      <t>ブ</t>
    </rPh>
    <rPh sb="4" eb="5">
      <t>スイ</t>
    </rPh>
    <rPh sb="6" eb="7">
      <t>ロ</t>
    </rPh>
    <rPh sb="8" eb="11">
      <t>トウケイ</t>
    </rPh>
    <phoneticPr fontId="7"/>
  </si>
  <si>
    <t>(英　語)</t>
    <rPh sb="1" eb="4">
      <t>エイゴ</t>
    </rPh>
    <phoneticPr fontId="7"/>
  </si>
  <si>
    <t>関門海峡</t>
    <rPh sb="0" eb="2">
      <t>カンモン</t>
    </rPh>
    <rPh sb="2" eb="4">
      <t>カイキョウ</t>
    </rPh>
    <phoneticPr fontId="7"/>
  </si>
  <si>
    <t>海上交通センター</t>
    <rPh sb="0" eb="2">
      <t>カイジョウ</t>
    </rPh>
    <rPh sb="2" eb="4">
      <t>コウツウ</t>
    </rPh>
    <phoneticPr fontId="7"/>
  </si>
  <si>
    <t>来島海峡</t>
    <rPh sb="0" eb="2">
      <t>クルシマ</t>
    </rPh>
    <rPh sb="2" eb="4">
      <t>カイキョウ</t>
    </rPh>
    <phoneticPr fontId="7"/>
  </si>
  <si>
    <t>　　　　　　　　　　　　　　　　　　　事　項　別
　　手　段　別</t>
    <rPh sb="19" eb="20">
      <t>コト</t>
    </rPh>
    <rPh sb="21" eb="22">
      <t>コウ</t>
    </rPh>
    <rPh sb="23" eb="24">
      <t>ベツ</t>
    </rPh>
    <rPh sb="29" eb="30">
      <t>テ</t>
    </rPh>
    <rPh sb="31" eb="32">
      <t>ダン</t>
    </rPh>
    <rPh sb="33" eb="34">
      <t>ベツ</t>
    </rPh>
    <phoneticPr fontId="7"/>
  </si>
  <si>
    <t>〃</t>
    <phoneticPr fontId="7"/>
  </si>
  <si>
    <t>備讃瀬戸</t>
    <rPh sb="0" eb="2">
      <t>ビサン</t>
    </rPh>
    <rPh sb="2" eb="4">
      <t>セト</t>
    </rPh>
    <phoneticPr fontId="7"/>
  </si>
  <si>
    <t>大阪湾</t>
    <rPh sb="0" eb="3">
      <t>オオサカワン</t>
    </rPh>
    <phoneticPr fontId="7"/>
  </si>
  <si>
    <t>(英語)</t>
    <rPh sb="1" eb="3">
      <t>エイゴ</t>
    </rPh>
    <phoneticPr fontId="7"/>
  </si>
  <si>
    <t>伊勢湾</t>
    <rPh sb="0" eb="3">
      <t>イセワン</t>
    </rPh>
    <phoneticPr fontId="7"/>
  </si>
  <si>
    <t>名古屋港</t>
    <rPh sb="0" eb="4">
      <t>ナゴヤコウ</t>
    </rPh>
    <phoneticPr fontId="7"/>
  </si>
  <si>
    <t>東京湾</t>
    <rPh sb="0" eb="3">
      <t>トウキョウワン</t>
    </rPh>
    <phoneticPr fontId="7"/>
  </si>
  <si>
    <t>宮古島</t>
    <rPh sb="0" eb="3">
      <t>ミヤコジマ</t>
    </rPh>
    <phoneticPr fontId="7"/>
  </si>
  <si>
    <t>那覇</t>
    <rPh sb="0" eb="2">
      <t>ナハ</t>
    </rPh>
    <phoneticPr fontId="7"/>
  </si>
  <si>
    <t>〃</t>
    <phoneticPr fontId="7"/>
  </si>
  <si>
    <t>石垣</t>
    <rPh sb="0" eb="2">
      <t>イシガキ</t>
    </rPh>
    <phoneticPr fontId="7"/>
  </si>
  <si>
    <t>中城　</t>
    <rPh sb="0" eb="1">
      <t>ナカ</t>
    </rPh>
    <rPh sb="1" eb="2">
      <t>シロ</t>
    </rPh>
    <phoneticPr fontId="7"/>
  </si>
  <si>
    <t>奄美</t>
    <rPh sb="0" eb="2">
      <t>アマミ</t>
    </rPh>
    <phoneticPr fontId="7"/>
  </si>
  <si>
    <t>〃</t>
    <phoneticPr fontId="7"/>
  </si>
  <si>
    <t>串木野</t>
    <rPh sb="0" eb="3">
      <t>クシキノ</t>
    </rPh>
    <phoneticPr fontId="7"/>
  </si>
  <si>
    <t>鹿児島</t>
    <rPh sb="0" eb="3">
      <t>カゴシマ</t>
    </rPh>
    <phoneticPr fontId="7"/>
  </si>
  <si>
    <t>宮崎</t>
    <rPh sb="0" eb="2">
      <t>ミヤザキ</t>
    </rPh>
    <phoneticPr fontId="7"/>
  </si>
  <si>
    <t>熊本</t>
    <rPh sb="0" eb="2">
      <t>クマモト</t>
    </rPh>
    <phoneticPr fontId="7"/>
  </si>
  <si>
    <t>七尾</t>
    <rPh sb="0" eb="2">
      <t>ナナオ</t>
    </rPh>
    <phoneticPr fontId="7"/>
  </si>
  <si>
    <t>海上保安部</t>
    <rPh sb="0" eb="2">
      <t>カイジョウ</t>
    </rPh>
    <rPh sb="2" eb="5">
      <t>ホアンブ</t>
    </rPh>
    <phoneticPr fontId="7"/>
  </si>
  <si>
    <t>金沢</t>
    <rPh sb="0" eb="2">
      <t>カナザワ</t>
    </rPh>
    <phoneticPr fontId="7"/>
  </si>
  <si>
    <t>伏木</t>
    <rPh sb="0" eb="2">
      <t>フシキ</t>
    </rPh>
    <phoneticPr fontId="7"/>
  </si>
  <si>
    <t>〃</t>
    <phoneticPr fontId="7"/>
  </si>
  <si>
    <t>新潟</t>
    <rPh sb="0" eb="2">
      <t>ニイガタ</t>
    </rPh>
    <phoneticPr fontId="7"/>
  </si>
  <si>
    <t>浜田</t>
    <rPh sb="0" eb="2">
      <t>ハマダ</t>
    </rPh>
    <phoneticPr fontId="7"/>
  </si>
  <si>
    <t>〃</t>
    <phoneticPr fontId="7"/>
  </si>
  <si>
    <t>境</t>
    <rPh sb="0" eb="1">
      <t>サカイ</t>
    </rPh>
    <phoneticPr fontId="7"/>
  </si>
  <si>
    <t>〃</t>
    <phoneticPr fontId="7"/>
  </si>
  <si>
    <t>舞鶴</t>
    <rPh sb="0" eb="2">
      <t>マイヅル</t>
    </rPh>
    <phoneticPr fontId="7"/>
  </si>
  <si>
    <t>敦賀</t>
    <rPh sb="0" eb="2">
      <t>ツルガ</t>
    </rPh>
    <phoneticPr fontId="7"/>
  </si>
  <si>
    <t>〃</t>
    <phoneticPr fontId="7"/>
  </si>
  <si>
    <t>大分</t>
    <rPh sb="0" eb="2">
      <t>オオイタ</t>
    </rPh>
    <phoneticPr fontId="7"/>
  </si>
  <si>
    <t>対馬</t>
    <rPh sb="0" eb="2">
      <t>ツシマ</t>
    </rPh>
    <phoneticPr fontId="7"/>
  </si>
  <si>
    <t>佐世保</t>
    <rPh sb="0" eb="3">
      <t>サセボ</t>
    </rPh>
    <phoneticPr fontId="7"/>
  </si>
  <si>
    <t>長崎</t>
    <rPh sb="0" eb="2">
      <t>ナガサキ</t>
    </rPh>
    <phoneticPr fontId="7"/>
  </si>
  <si>
    <t>唐津</t>
    <rPh sb="0" eb="2">
      <t>カラツ</t>
    </rPh>
    <phoneticPr fontId="7"/>
  </si>
  <si>
    <t>〃</t>
    <phoneticPr fontId="7"/>
  </si>
  <si>
    <t>三池</t>
    <rPh sb="0" eb="2">
      <t>ミイケ</t>
    </rPh>
    <phoneticPr fontId="7"/>
  </si>
  <si>
    <t>〃</t>
    <phoneticPr fontId="7"/>
  </si>
  <si>
    <t>福岡</t>
    <rPh sb="0" eb="2">
      <t>フクオカ</t>
    </rPh>
    <phoneticPr fontId="7"/>
  </si>
  <si>
    <t>若松</t>
    <rPh sb="0" eb="2">
      <t>ワカマツ</t>
    </rPh>
    <phoneticPr fontId="7"/>
  </si>
  <si>
    <t>門司</t>
    <rPh sb="0" eb="2">
      <t>モジ</t>
    </rPh>
    <phoneticPr fontId="7"/>
  </si>
  <si>
    <t>仙崎</t>
    <rPh sb="0" eb="2">
      <t>センザキ</t>
    </rPh>
    <phoneticPr fontId="7"/>
  </si>
  <si>
    <t>宇和島</t>
    <rPh sb="0" eb="3">
      <t>ウワジマ</t>
    </rPh>
    <phoneticPr fontId="7"/>
  </si>
  <si>
    <t>今治</t>
    <rPh sb="0" eb="2">
      <t>イマバリ</t>
    </rPh>
    <phoneticPr fontId="7"/>
  </si>
  <si>
    <t>松山</t>
    <rPh sb="0" eb="2">
      <t>マツヤマ</t>
    </rPh>
    <phoneticPr fontId="7"/>
  </si>
  <si>
    <t>高松</t>
    <rPh sb="0" eb="2">
      <t>タカマツ</t>
    </rPh>
    <phoneticPr fontId="7"/>
  </si>
  <si>
    <t>徳山</t>
    <rPh sb="0" eb="2">
      <t>トクヤマ</t>
    </rPh>
    <phoneticPr fontId="7"/>
  </si>
  <si>
    <t>尾道</t>
    <rPh sb="0" eb="2">
      <t>オノミチ</t>
    </rPh>
    <phoneticPr fontId="7"/>
  </si>
  <si>
    <t>呉</t>
    <rPh sb="0" eb="1">
      <t>クレ</t>
    </rPh>
    <phoneticPr fontId="7"/>
  </si>
  <si>
    <t>〃</t>
    <phoneticPr fontId="7"/>
  </si>
  <si>
    <t>広島</t>
    <rPh sb="0" eb="2">
      <t>ヒロシマ</t>
    </rPh>
    <phoneticPr fontId="7"/>
  </si>
  <si>
    <t>玉野</t>
    <rPh sb="0" eb="2">
      <t>タマノ</t>
    </rPh>
    <phoneticPr fontId="7"/>
  </si>
  <si>
    <t>〃</t>
    <phoneticPr fontId="7"/>
  </si>
  <si>
    <t>水島</t>
    <rPh sb="0" eb="2">
      <t>ミズシマ</t>
    </rPh>
    <phoneticPr fontId="7"/>
  </si>
  <si>
    <t>高知</t>
    <rPh sb="0" eb="2">
      <t>コウチ</t>
    </rPh>
    <phoneticPr fontId="7"/>
  </si>
  <si>
    <t>〃</t>
    <phoneticPr fontId="7"/>
  </si>
  <si>
    <t>徳島</t>
    <rPh sb="0" eb="2">
      <t>トクシマ</t>
    </rPh>
    <phoneticPr fontId="7"/>
  </si>
  <si>
    <t>田辺</t>
    <rPh sb="0" eb="2">
      <t>タナベ</t>
    </rPh>
    <phoneticPr fontId="7"/>
  </si>
  <si>
    <t>和歌山</t>
    <rPh sb="0" eb="3">
      <t>ワカヤマ</t>
    </rPh>
    <phoneticPr fontId="7"/>
  </si>
  <si>
    <t>姫路</t>
    <rPh sb="0" eb="2">
      <t>ヒメジ</t>
    </rPh>
    <phoneticPr fontId="7"/>
  </si>
  <si>
    <t>〃</t>
    <phoneticPr fontId="7"/>
  </si>
  <si>
    <t>神戸</t>
    <rPh sb="0" eb="2">
      <t>コウベ</t>
    </rPh>
    <phoneticPr fontId="7"/>
  </si>
  <si>
    <t>海上保安監部</t>
    <rPh sb="0" eb="2">
      <t>カイジョウ</t>
    </rPh>
    <rPh sb="2" eb="4">
      <t>ホアン</t>
    </rPh>
    <rPh sb="4" eb="6">
      <t>カンブ</t>
    </rPh>
    <phoneticPr fontId="7"/>
  </si>
  <si>
    <t>大阪</t>
    <rPh sb="0" eb="2">
      <t>オオサカ</t>
    </rPh>
    <phoneticPr fontId="7"/>
  </si>
  <si>
    <t>鳥羽</t>
    <rPh sb="0" eb="2">
      <t>トバ</t>
    </rPh>
    <phoneticPr fontId="7"/>
  </si>
  <si>
    <t>〃</t>
    <phoneticPr fontId="7"/>
  </si>
  <si>
    <t>尾鷲</t>
    <rPh sb="0" eb="2">
      <t>オワセ</t>
    </rPh>
    <phoneticPr fontId="7"/>
  </si>
  <si>
    <t>〃</t>
    <phoneticPr fontId="7"/>
  </si>
  <si>
    <t>四日市</t>
    <rPh sb="0" eb="3">
      <t>ヨッカイチ</t>
    </rPh>
    <phoneticPr fontId="7"/>
  </si>
  <si>
    <t>名古屋</t>
    <rPh sb="0" eb="3">
      <t>ナゴヤ</t>
    </rPh>
    <phoneticPr fontId="7"/>
  </si>
  <si>
    <t>下田</t>
    <rPh sb="0" eb="2">
      <t>シモダ</t>
    </rPh>
    <phoneticPr fontId="7"/>
  </si>
  <si>
    <t>〃</t>
    <phoneticPr fontId="7"/>
  </si>
  <si>
    <t>清水</t>
    <rPh sb="0" eb="2">
      <t>シミズ</t>
    </rPh>
    <phoneticPr fontId="7"/>
  </si>
  <si>
    <t>横須賀</t>
    <rPh sb="0" eb="3">
      <t>ヨコスカ</t>
    </rPh>
    <phoneticPr fontId="7"/>
  </si>
  <si>
    <t>横浜</t>
    <rPh sb="0" eb="2">
      <t>ヨコハマ</t>
    </rPh>
    <phoneticPr fontId="7"/>
  </si>
  <si>
    <t xml:space="preserve"> </t>
    <phoneticPr fontId="7"/>
  </si>
  <si>
    <t>東京</t>
    <rPh sb="0" eb="2">
      <t>トウキョウ</t>
    </rPh>
    <phoneticPr fontId="7"/>
  </si>
  <si>
    <t>銚子</t>
    <rPh sb="0" eb="2">
      <t>チョウシ</t>
    </rPh>
    <phoneticPr fontId="7"/>
  </si>
  <si>
    <t>千葉</t>
    <rPh sb="0" eb="2">
      <t>チバ</t>
    </rPh>
    <phoneticPr fontId="7"/>
  </si>
  <si>
    <t>〃</t>
    <phoneticPr fontId="7"/>
  </si>
  <si>
    <t>茨城</t>
    <rPh sb="0" eb="2">
      <t>イバラキ</t>
    </rPh>
    <phoneticPr fontId="7"/>
  </si>
  <si>
    <t>福島</t>
    <rPh sb="0" eb="2">
      <t>フクシマ</t>
    </rPh>
    <phoneticPr fontId="7"/>
  </si>
  <si>
    <t>酒田</t>
    <rPh sb="0" eb="2">
      <t>サカタ</t>
    </rPh>
    <phoneticPr fontId="7"/>
  </si>
  <si>
    <t>秋田</t>
    <rPh sb="0" eb="2">
      <t>アキタ</t>
    </rPh>
    <phoneticPr fontId="7"/>
  </si>
  <si>
    <t>宮城</t>
    <rPh sb="0" eb="2">
      <t>ミヤギ</t>
    </rPh>
    <phoneticPr fontId="7"/>
  </si>
  <si>
    <t>釜石</t>
    <rPh sb="0" eb="2">
      <t>カマイシ</t>
    </rPh>
    <phoneticPr fontId="7"/>
  </si>
  <si>
    <t>八戸</t>
    <rPh sb="0" eb="2">
      <t>ハチノヘ</t>
    </rPh>
    <phoneticPr fontId="7"/>
  </si>
  <si>
    <t>青森</t>
    <rPh sb="0" eb="2">
      <t>アオモリ</t>
    </rPh>
    <phoneticPr fontId="7"/>
  </si>
  <si>
    <t>根室</t>
    <rPh sb="0" eb="2">
      <t>ネムロ</t>
    </rPh>
    <phoneticPr fontId="7"/>
  </si>
  <si>
    <t>〃</t>
    <phoneticPr fontId="7"/>
  </si>
  <si>
    <t>紋別</t>
    <rPh sb="0" eb="2">
      <t>モンベツ</t>
    </rPh>
    <phoneticPr fontId="7"/>
  </si>
  <si>
    <t>稚内</t>
    <rPh sb="0" eb="2">
      <t>ワッカナイ</t>
    </rPh>
    <phoneticPr fontId="7"/>
  </si>
  <si>
    <t>留萌</t>
    <rPh sb="0" eb="2">
      <t>ルモイ</t>
    </rPh>
    <phoneticPr fontId="7"/>
  </si>
  <si>
    <t>〃</t>
    <phoneticPr fontId="7"/>
  </si>
  <si>
    <t>釧路</t>
    <rPh sb="0" eb="2">
      <t>クシロ</t>
    </rPh>
    <phoneticPr fontId="7"/>
  </si>
  <si>
    <t>室蘭</t>
    <rPh sb="0" eb="2">
      <t>ムロラン</t>
    </rPh>
    <phoneticPr fontId="7"/>
  </si>
  <si>
    <t>小樽</t>
    <rPh sb="0" eb="2">
      <t>オタル</t>
    </rPh>
    <phoneticPr fontId="7"/>
  </si>
  <si>
    <t>函館</t>
    <rPh sb="0" eb="2">
      <t>ハコダテ</t>
    </rPh>
    <phoneticPr fontId="7"/>
  </si>
  <si>
    <t>第十一管区</t>
    <rPh sb="0" eb="1">
      <t>ダイ</t>
    </rPh>
    <rPh sb="1" eb="2">
      <t>ジュウ</t>
    </rPh>
    <rPh sb="2" eb="3">
      <t>イチ</t>
    </rPh>
    <rPh sb="3" eb="5">
      <t>カンク</t>
    </rPh>
    <phoneticPr fontId="7"/>
  </si>
  <si>
    <t>第十管区</t>
    <rPh sb="0" eb="1">
      <t>ダイ</t>
    </rPh>
    <rPh sb="1" eb="2">
      <t>ジュウ</t>
    </rPh>
    <rPh sb="2" eb="4">
      <t>カンク</t>
    </rPh>
    <phoneticPr fontId="7"/>
  </si>
  <si>
    <t>第九管区</t>
    <rPh sb="0" eb="1">
      <t>ダイ</t>
    </rPh>
    <rPh sb="1" eb="2">
      <t>９</t>
    </rPh>
    <rPh sb="2" eb="4">
      <t>カンク</t>
    </rPh>
    <phoneticPr fontId="7"/>
  </si>
  <si>
    <t>第八管区</t>
    <rPh sb="0" eb="1">
      <t>ダイ</t>
    </rPh>
    <rPh sb="1" eb="2">
      <t>８</t>
    </rPh>
    <rPh sb="2" eb="4">
      <t>カンク</t>
    </rPh>
    <phoneticPr fontId="7"/>
  </si>
  <si>
    <t>第七管区</t>
    <rPh sb="0" eb="1">
      <t>ダイ</t>
    </rPh>
    <rPh sb="1" eb="2">
      <t>７</t>
    </rPh>
    <rPh sb="2" eb="4">
      <t>カンク</t>
    </rPh>
    <phoneticPr fontId="7"/>
  </si>
  <si>
    <t>第六管区</t>
    <rPh sb="0" eb="1">
      <t>ダイ</t>
    </rPh>
    <rPh sb="1" eb="2">
      <t>６</t>
    </rPh>
    <rPh sb="2" eb="4">
      <t>カンク</t>
    </rPh>
    <phoneticPr fontId="7"/>
  </si>
  <si>
    <t>第五管区</t>
    <rPh sb="0" eb="1">
      <t>ダイ</t>
    </rPh>
    <rPh sb="1" eb="2">
      <t>５</t>
    </rPh>
    <rPh sb="2" eb="4">
      <t>カンク</t>
    </rPh>
    <phoneticPr fontId="7"/>
  </si>
  <si>
    <t>第四管区</t>
    <rPh sb="0" eb="1">
      <t>ダイ</t>
    </rPh>
    <rPh sb="1" eb="2">
      <t>４</t>
    </rPh>
    <rPh sb="2" eb="4">
      <t>カンク</t>
    </rPh>
    <phoneticPr fontId="7"/>
  </si>
  <si>
    <t>第三管区</t>
    <rPh sb="0" eb="1">
      <t>ダイ</t>
    </rPh>
    <rPh sb="1" eb="2">
      <t>３</t>
    </rPh>
    <rPh sb="2" eb="4">
      <t>カンク</t>
    </rPh>
    <phoneticPr fontId="7"/>
  </si>
  <si>
    <t>第二管区</t>
    <rPh sb="0" eb="1">
      <t>ダイ</t>
    </rPh>
    <rPh sb="1" eb="2">
      <t>２</t>
    </rPh>
    <rPh sb="2" eb="4">
      <t>カンク</t>
    </rPh>
    <phoneticPr fontId="7"/>
  </si>
  <si>
    <t>海上保安本部</t>
    <rPh sb="0" eb="2">
      <t>カイジョウ</t>
    </rPh>
    <rPh sb="2" eb="4">
      <t>ホアン</t>
    </rPh>
    <rPh sb="4" eb="6">
      <t>ホンブ</t>
    </rPh>
    <phoneticPr fontId="7"/>
  </si>
  <si>
    <t>第一管区</t>
    <rPh sb="0" eb="1">
      <t>ダイ</t>
    </rPh>
    <rPh sb="1" eb="2">
      <t>イチ</t>
    </rPh>
    <rPh sb="2" eb="4">
      <t>カンク</t>
    </rPh>
    <phoneticPr fontId="7"/>
  </si>
  <si>
    <t>海    上　  保　  安  　庁</t>
    <rPh sb="0" eb="1">
      <t>ウミ</t>
    </rPh>
    <rPh sb="5" eb="6">
      <t>ウエ</t>
    </rPh>
    <rPh sb="9" eb="10">
      <t>ホ</t>
    </rPh>
    <rPh sb="13" eb="14">
      <t>アン</t>
    </rPh>
    <rPh sb="17" eb="18">
      <t>チョウ</t>
    </rPh>
    <phoneticPr fontId="7"/>
  </si>
  <si>
    <t>(英　語)計</t>
    <rPh sb="1" eb="4">
      <t>エイゴ</t>
    </rPh>
    <rPh sb="5" eb="6">
      <t>ケイ</t>
    </rPh>
    <phoneticPr fontId="7"/>
  </si>
  <si>
    <t>　　　　　　　　　〃</t>
    <phoneticPr fontId="7"/>
  </si>
  <si>
    <t>(日本語)計</t>
    <rPh sb="1" eb="4">
      <t>ニホンゴ</t>
    </rPh>
    <rPh sb="5" eb="6">
      <t>ケイ</t>
    </rPh>
    <phoneticPr fontId="7"/>
  </si>
  <si>
    <t>航行援助情報提供実施件数</t>
    <rPh sb="0" eb="2">
      <t>コウコウ</t>
    </rPh>
    <rPh sb="2" eb="4">
      <t>エンジョ</t>
    </rPh>
    <rPh sb="4" eb="6">
      <t>ジョウホウ</t>
    </rPh>
    <rPh sb="6" eb="8">
      <t>テイキョウ</t>
    </rPh>
    <rPh sb="8" eb="10">
      <t>ジッシ</t>
    </rPh>
    <rPh sb="10" eb="12">
      <t>ケンスウ</t>
    </rPh>
    <phoneticPr fontId="7"/>
  </si>
  <si>
    <t>(3) 航行援助情報提供業務実施件数</t>
    <rPh sb="4" eb="6">
      <t>コウコウ</t>
    </rPh>
    <rPh sb="6" eb="8">
      <t>エンジョ</t>
    </rPh>
    <rPh sb="8" eb="10">
      <t>ジョウホウ</t>
    </rPh>
    <rPh sb="10" eb="12">
      <t>テイキョウ</t>
    </rPh>
    <rPh sb="12" eb="14">
      <t>ギョウム</t>
    </rPh>
    <rPh sb="14" eb="16">
      <t>ジッシ</t>
    </rPh>
    <rPh sb="16" eb="18">
      <t>ケンスウ</t>
    </rPh>
    <phoneticPr fontId="7"/>
  </si>
  <si>
    <t>宮古島</t>
    <rPh sb="0" eb="3">
      <t>ミヤコジマ</t>
    </rPh>
    <phoneticPr fontId="19"/>
  </si>
  <si>
    <t>中城</t>
    <rPh sb="0" eb="2">
      <t>ナカグスク</t>
    </rPh>
    <phoneticPr fontId="7"/>
  </si>
  <si>
    <t>　　　　　　　　　　　　　　　　　　　事　項　別
　　情報資料出所別</t>
    <rPh sb="19" eb="20">
      <t>コト</t>
    </rPh>
    <rPh sb="21" eb="22">
      <t>コウ</t>
    </rPh>
    <rPh sb="23" eb="24">
      <t>ベツ</t>
    </rPh>
    <rPh sb="29" eb="31">
      <t>ジョウホウ</t>
    </rPh>
    <rPh sb="31" eb="33">
      <t>シリョウ</t>
    </rPh>
    <rPh sb="33" eb="34">
      <t>デ</t>
    </rPh>
    <rPh sb="34" eb="35">
      <t>ショ</t>
    </rPh>
    <rPh sb="35" eb="36">
      <t>ベツ</t>
    </rPh>
    <phoneticPr fontId="7"/>
  </si>
  <si>
    <t>〃</t>
    <phoneticPr fontId="7"/>
  </si>
  <si>
    <t>海上保安監部</t>
    <rPh sb="0" eb="2">
      <t>カイジョウ</t>
    </rPh>
    <rPh sb="2" eb="4">
      <t>ホアン</t>
    </rPh>
    <rPh sb="4" eb="5">
      <t>ラン</t>
    </rPh>
    <rPh sb="5" eb="6">
      <t>ブ</t>
    </rPh>
    <phoneticPr fontId="7"/>
  </si>
  <si>
    <t>海　　　　上　　　　保　　　　安　　　　庁</t>
    <rPh sb="0" eb="1">
      <t>ウミ</t>
    </rPh>
    <rPh sb="5" eb="6">
      <t>ウエ</t>
    </rPh>
    <rPh sb="10" eb="11">
      <t>ホ</t>
    </rPh>
    <rPh sb="15" eb="16">
      <t>アン</t>
    </rPh>
    <rPh sb="20" eb="21">
      <t>チョウ</t>
    </rPh>
    <phoneticPr fontId="7"/>
  </si>
  <si>
    <t>(4) 航行援助情報資料出所別調査件数</t>
    <rPh sb="4" eb="6">
      <t>コウコウ</t>
    </rPh>
    <rPh sb="6" eb="8">
      <t>エンジョ</t>
    </rPh>
    <rPh sb="8" eb="10">
      <t>ジョウホウ</t>
    </rPh>
    <rPh sb="10" eb="12">
      <t>シリョウ</t>
    </rPh>
    <rPh sb="12" eb="14">
      <t>シュッショ</t>
    </rPh>
    <rPh sb="14" eb="15">
      <t>ベツ</t>
    </rPh>
    <rPh sb="15" eb="17">
      <t>チョウサ</t>
    </rPh>
    <rPh sb="17" eb="19">
      <t>ケンスウ</t>
    </rPh>
    <phoneticPr fontId="7"/>
  </si>
  <si>
    <t>補　　刷</t>
    <rPh sb="0" eb="1">
      <t>タスク</t>
    </rPh>
    <rPh sb="3" eb="4">
      <t>サツ</t>
    </rPh>
    <phoneticPr fontId="7"/>
  </si>
  <si>
    <t>改　　版</t>
  </si>
  <si>
    <t>新　　刊</t>
  </si>
  <si>
    <t>セル</t>
    <phoneticPr fontId="7"/>
  </si>
  <si>
    <t>セル</t>
    <phoneticPr fontId="7"/>
  </si>
  <si>
    <t>合　　計</t>
  </si>
  <si>
    <t>概　　観</t>
    <phoneticPr fontId="7"/>
  </si>
  <si>
    <t>一般航海</t>
    <phoneticPr fontId="7"/>
  </si>
  <si>
    <t>沿岸航海</t>
    <phoneticPr fontId="7"/>
  </si>
  <si>
    <t>アプローチ</t>
    <phoneticPr fontId="7"/>
  </si>
  <si>
    <t>入　　港</t>
    <phoneticPr fontId="7"/>
  </si>
  <si>
    <t>航　　海　　用　　電　　子　　海　　図</t>
    <phoneticPr fontId="7"/>
  </si>
  <si>
    <t>区　　分</t>
  </si>
  <si>
    <t>補　　刷</t>
  </si>
  <si>
    <t>枚</t>
  </si>
  <si>
    <t>版</t>
    <rPh sb="0" eb="1">
      <t>ハン</t>
    </rPh>
    <phoneticPr fontId="7"/>
  </si>
  <si>
    <t>そ　の　他</t>
  </si>
  <si>
    <t>沿　　岸</t>
  </si>
  <si>
    <t>大　陸　棚</t>
  </si>
  <si>
    <t>漁業用海図</t>
    <rPh sb="0" eb="3">
      <t>ギョギョウヨウ</t>
    </rPh>
    <rPh sb="3" eb="4">
      <t>ウミ</t>
    </rPh>
    <phoneticPr fontId="7"/>
  </si>
  <si>
    <t>総　　図</t>
  </si>
  <si>
    <t>航　洋　図</t>
  </si>
  <si>
    <t>航　海　図</t>
  </si>
  <si>
    <t>海　岸　図</t>
  </si>
  <si>
    <t>港　泊　図</t>
  </si>
  <si>
    <t>航　空　図</t>
  </si>
  <si>
    <t>海　　の　　基　　　本　　　図</t>
    <rPh sb="0" eb="1">
      <t>ウミ</t>
    </rPh>
    <phoneticPr fontId="7"/>
  </si>
  <si>
    <t>特　殊　図</t>
  </si>
  <si>
    <t>航　　　海　　　用　　　海　　　図</t>
    <rPh sb="0" eb="1">
      <t>コウ</t>
    </rPh>
    <rPh sb="4" eb="5">
      <t>ウミ</t>
    </rPh>
    <rPh sb="8" eb="9">
      <t>ヨウ</t>
    </rPh>
    <rPh sb="12" eb="13">
      <t>ウミ</t>
    </rPh>
    <rPh sb="16" eb="17">
      <t>ズ</t>
    </rPh>
    <phoneticPr fontId="7"/>
  </si>
  <si>
    <t>合　　　　計</t>
  </si>
  <si>
    <t>　　(1) 　海図等刊行状況</t>
  </si>
  <si>
    <t>　２　水路図誌等刊行状況</t>
    <rPh sb="3" eb="5">
      <t>スイロ</t>
    </rPh>
    <rPh sb="5" eb="6">
      <t>ズシ</t>
    </rPh>
    <rPh sb="6" eb="7">
      <t>シ</t>
    </rPh>
    <rPh sb="7" eb="8">
      <t>トウ</t>
    </rPh>
    <rPh sb="8" eb="10">
      <t>カンコウ</t>
    </rPh>
    <rPh sb="10" eb="12">
      <t>ジョウキョウ</t>
    </rPh>
    <phoneticPr fontId="7"/>
  </si>
  <si>
    <t>増　　刷</t>
    <rPh sb="0" eb="1">
      <t>ゾウ</t>
    </rPh>
    <rPh sb="3" eb="4">
      <t>サツ</t>
    </rPh>
    <phoneticPr fontId="7"/>
  </si>
  <si>
    <t>-</t>
    <phoneticPr fontId="7"/>
  </si>
  <si>
    <t>改    版</t>
    <phoneticPr fontId="7"/>
  </si>
  <si>
    <t>新    刊</t>
    <phoneticPr fontId="7"/>
  </si>
  <si>
    <t>冊</t>
  </si>
  <si>
    <t>件</t>
  </si>
  <si>
    <t>その他</t>
    <rPh sb="2" eb="3">
      <t>タ</t>
    </rPh>
    <phoneticPr fontId="7"/>
  </si>
  <si>
    <t>水路図誌目録</t>
    <rPh sb="0" eb="2">
      <t>スイロ</t>
    </rPh>
    <rPh sb="2" eb="4">
      <t>ズシ</t>
    </rPh>
    <rPh sb="4" eb="6">
      <t>モクロク</t>
    </rPh>
    <phoneticPr fontId="7"/>
  </si>
  <si>
    <t>潮　汐　表</t>
  </si>
  <si>
    <t>天 測 略 暦</t>
  </si>
  <si>
    <t>天　測　暦</t>
  </si>
  <si>
    <t>灯  台  表</t>
  </si>
  <si>
    <t>天測計算表</t>
    <rPh sb="0" eb="2">
      <t>テンソク</t>
    </rPh>
    <rPh sb="2" eb="4">
      <t>ケイサン</t>
    </rPh>
    <rPh sb="4" eb="5">
      <t>ヒョウ</t>
    </rPh>
    <phoneticPr fontId="7"/>
  </si>
  <si>
    <t>水路図誌使用の手引</t>
    <rPh sb="0" eb="2">
      <t>スイロ</t>
    </rPh>
    <rPh sb="2" eb="4">
      <t>ズシ</t>
    </rPh>
    <rPh sb="4" eb="6">
      <t>シヨウ</t>
    </rPh>
    <rPh sb="7" eb="9">
      <t>テビキ</t>
    </rPh>
    <phoneticPr fontId="7"/>
  </si>
  <si>
    <t>特　　　　殊　　　　書　　　　誌</t>
    <rPh sb="0" eb="6">
      <t>トクシュ</t>
    </rPh>
    <rPh sb="10" eb="16">
      <t>ショシ</t>
    </rPh>
    <phoneticPr fontId="7"/>
  </si>
  <si>
    <t>水　路　誌</t>
  </si>
  <si>
    <t>合      計</t>
  </si>
  <si>
    <t>　　(2) 　書誌刊行状況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</si>
</sst>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[=0]&quot;-&quot;;#,##0"/>
    <numFmt numFmtId="177" formatCode="0.00_ "/>
    <numFmt numFmtId="178" formatCode="#,##0_ "/>
    <numFmt numFmtId="179" formatCode="#,##0.00_ "/>
  </numFmts>
  <fonts count="2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  <font>
      <sz val="10.5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10.5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8"/>
      <color rgb="FFFF0000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4" fillId="0" borderId="0"/>
  </cellStyleXfs>
  <cellXfs count="460">
    <xf numFmtId="0" fontId="0" fillId="0" borderId="0" xfId="0"/>
    <xf numFmtId="176" fontId="5" fillId="0" borderId="1" xfId="3" applyNumberFormat="1" applyFont="1" applyFill="1" applyBorder="1" applyAlignment="1">
      <alignment horizontal="center" vertical="center" textRotation="255"/>
    </xf>
    <xf numFmtId="176" fontId="5" fillId="0" borderId="1" xfId="3" applyNumberFormat="1" applyFont="1" applyFill="1" applyBorder="1" applyAlignment="1">
      <alignment horizontal="center" vertical="center" textRotation="255" wrapText="1"/>
    </xf>
    <xf numFmtId="176" fontId="5" fillId="0" borderId="1" xfId="3" applyNumberFormat="1" applyFont="1" applyFill="1" applyBorder="1" applyAlignment="1">
      <alignment horizontal="center" vertical="distributed" textRotation="255"/>
    </xf>
    <xf numFmtId="176" fontId="5" fillId="0" borderId="1" xfId="3" applyNumberFormat="1" applyFont="1" applyFill="1" applyBorder="1" applyAlignment="1">
      <alignment horizontal="center" vertical="distributed" textRotation="255" wrapText="1"/>
    </xf>
    <xf numFmtId="38" fontId="5" fillId="0" borderId="0" xfId="3" applyFont="1" applyFill="1"/>
    <xf numFmtId="0" fontId="5" fillId="0" borderId="0" xfId="3" applyNumberFormat="1" applyFont="1" applyFill="1"/>
    <xf numFmtId="176" fontId="5" fillId="0" borderId="0" xfId="3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0" fontId="5" fillId="0" borderId="0" xfId="3" applyNumberFormat="1" applyFont="1" applyFill="1" applyBorder="1" applyAlignment="1">
      <alignment horizontal="distributed"/>
    </xf>
    <xf numFmtId="0" fontId="9" fillId="0" borderId="0" xfId="4" applyFont="1" applyFill="1" applyBorder="1" applyAlignment="1">
      <alignment horizontal="distributed"/>
    </xf>
    <xf numFmtId="0" fontId="5" fillId="0" borderId="0" xfId="3" applyNumberFormat="1" applyFont="1" applyFill="1" applyBorder="1" applyAlignment="1">
      <alignment horizontal="distributed" vertical="center"/>
    </xf>
    <xf numFmtId="0" fontId="5" fillId="0" borderId="0" xfId="3" applyNumberFormat="1" applyFont="1" applyFill="1" applyBorder="1"/>
    <xf numFmtId="176" fontId="5" fillId="0" borderId="0" xfId="3" applyNumberFormat="1" applyFont="1" applyFill="1"/>
    <xf numFmtId="176" fontId="5" fillId="0" borderId="2" xfId="4" applyNumberFormat="1" applyFont="1" applyFill="1" applyBorder="1" applyAlignment="1">
      <alignment horizontal="right" vertical="center"/>
    </xf>
    <xf numFmtId="176" fontId="5" fillId="0" borderId="3" xfId="4" applyNumberFormat="1" applyFont="1" applyFill="1" applyBorder="1" applyAlignment="1">
      <alignment horizontal="right" vertical="center"/>
    </xf>
    <xf numFmtId="176" fontId="5" fillId="0" borderId="4" xfId="4" applyNumberFormat="1" applyFont="1" applyFill="1" applyBorder="1" applyAlignment="1">
      <alignment horizontal="right" vertical="center"/>
    </xf>
    <xf numFmtId="176" fontId="8" fillId="0" borderId="5" xfId="3" applyNumberFormat="1" applyFont="1" applyFill="1" applyBorder="1" applyAlignment="1">
      <alignment vertical="center"/>
    </xf>
    <xf numFmtId="0" fontId="5" fillId="0" borderId="6" xfId="3" applyNumberFormat="1" applyFont="1" applyFill="1" applyBorder="1" applyAlignment="1">
      <alignment horizontal="distributed"/>
    </xf>
    <xf numFmtId="0" fontId="5" fillId="0" borderId="5" xfId="3" applyNumberFormat="1" applyFont="1" applyFill="1" applyBorder="1"/>
    <xf numFmtId="176" fontId="5" fillId="0" borderId="7" xfId="4" applyNumberFormat="1" applyFont="1" applyFill="1" applyBorder="1" applyAlignment="1">
      <alignment horizontal="right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8" xfId="4" applyNumberFormat="1" applyFont="1" applyFill="1" applyBorder="1" applyAlignment="1">
      <alignment horizontal="right" vertical="center"/>
    </xf>
    <xf numFmtId="176" fontId="8" fillId="0" borderId="9" xfId="3" applyNumberFormat="1" applyFont="1" applyFill="1" applyBorder="1" applyAlignment="1">
      <alignment vertical="center"/>
    </xf>
    <xf numFmtId="0" fontId="5" fillId="0" borderId="10" xfId="3" applyNumberFormat="1" applyFont="1" applyFill="1" applyBorder="1" applyAlignment="1">
      <alignment horizontal="distributed"/>
    </xf>
    <xf numFmtId="0" fontId="5" fillId="0" borderId="9" xfId="3" applyNumberFormat="1" applyFont="1" applyFill="1" applyBorder="1"/>
    <xf numFmtId="176" fontId="8" fillId="0" borderId="11" xfId="3" applyNumberFormat="1" applyFont="1" applyFill="1" applyBorder="1" applyAlignment="1">
      <alignment vertical="center"/>
    </xf>
    <xf numFmtId="0" fontId="5" fillId="0" borderId="6" xfId="3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vertical="center"/>
    </xf>
    <xf numFmtId="176" fontId="5" fillId="0" borderId="12" xfId="3" applyNumberFormat="1" applyFont="1" applyFill="1" applyBorder="1" applyAlignment="1">
      <alignment horizontal="right"/>
    </xf>
    <xf numFmtId="176" fontId="5" fillId="0" borderId="13" xfId="3" applyNumberFormat="1" applyFont="1" applyFill="1" applyBorder="1" applyAlignment="1">
      <alignment horizontal="right"/>
    </xf>
    <xf numFmtId="176" fontId="5" fillId="0" borderId="14" xfId="3" applyNumberFormat="1" applyFont="1" applyFill="1" applyBorder="1" applyAlignment="1">
      <alignment horizontal="right"/>
    </xf>
    <xf numFmtId="176" fontId="5" fillId="0" borderId="15" xfId="3" applyNumberFormat="1" applyFont="1" applyFill="1" applyBorder="1" applyAlignment="1">
      <alignment horizontal="right"/>
    </xf>
    <xf numFmtId="0" fontId="5" fillId="0" borderId="16" xfId="3" applyNumberFormat="1" applyFont="1" applyFill="1" applyBorder="1" applyAlignment="1">
      <alignment horizontal="left" wrapText="1"/>
    </xf>
    <xf numFmtId="0" fontId="5" fillId="0" borderId="17" xfId="3" applyNumberFormat="1" applyFont="1" applyFill="1" applyBorder="1" applyAlignment="1">
      <alignment horizontal="left" wrapText="1"/>
    </xf>
    <xf numFmtId="176" fontId="5" fillId="0" borderId="10" xfId="3" applyNumberFormat="1" applyFont="1" applyFill="1" applyBorder="1" applyAlignment="1">
      <alignment horizontal="center" vertical="center" textRotation="255"/>
    </xf>
    <xf numFmtId="176" fontId="5" fillId="0" borderId="0" xfId="3" applyNumberFormat="1" applyFont="1" applyFill="1" applyBorder="1" applyAlignment="1">
      <alignment horizontal="center" vertical="center" textRotation="255"/>
    </xf>
    <xf numFmtId="176" fontId="5" fillId="0" borderId="18" xfId="3" applyNumberFormat="1" applyFont="1" applyFill="1" applyBorder="1" applyAlignment="1">
      <alignment horizontal="center" vertical="top" textRotation="255"/>
    </xf>
    <xf numFmtId="176" fontId="5" fillId="0" borderId="10" xfId="3" applyNumberFormat="1" applyFont="1" applyFill="1" applyBorder="1" applyAlignment="1">
      <alignment horizontal="center" vertical="distributed" textRotation="255"/>
    </xf>
    <xf numFmtId="176" fontId="5" fillId="0" borderId="0" xfId="3" applyNumberFormat="1" applyFont="1" applyFill="1" applyBorder="1" applyAlignment="1">
      <alignment horizontal="center" vertical="distributed" textRotation="255"/>
    </xf>
    <xf numFmtId="176" fontId="5" fillId="0" borderId="18" xfId="3" applyNumberFormat="1" applyFont="1" applyFill="1" applyBorder="1" applyAlignment="1">
      <alignment horizontal="center" vertical="distributed"/>
    </xf>
    <xf numFmtId="176" fontId="5" fillId="0" borderId="12" xfId="3" applyNumberFormat="1" applyFont="1" applyFill="1" applyBorder="1"/>
    <xf numFmtId="176" fontId="5" fillId="0" borderId="13" xfId="3" applyNumberFormat="1" applyFont="1" applyFill="1" applyBorder="1"/>
    <xf numFmtId="176" fontId="5" fillId="0" borderId="14" xfId="3" applyNumberFormat="1" applyFont="1" applyFill="1" applyBorder="1"/>
    <xf numFmtId="176" fontId="5" fillId="0" borderId="15" xfId="3" applyNumberFormat="1" applyFont="1" applyFill="1" applyBorder="1"/>
    <xf numFmtId="0" fontId="11" fillId="0" borderId="0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0" fontId="5" fillId="0" borderId="19" xfId="3" applyNumberFormat="1" applyFont="1" applyFill="1" applyBorder="1" applyAlignment="1">
      <alignment horizontal="distributed"/>
    </xf>
    <xf numFmtId="0" fontId="5" fillId="0" borderId="19" xfId="3" applyNumberFormat="1" applyFont="1" applyFill="1" applyBorder="1" applyAlignment="1">
      <alignment horizontal="distributed" vertical="center"/>
    </xf>
    <xf numFmtId="0" fontId="9" fillId="0" borderId="19" xfId="4" applyFont="1" applyFill="1" applyBorder="1" applyAlignment="1">
      <alignment horizontal="distributed" vertical="center"/>
    </xf>
    <xf numFmtId="176" fontId="5" fillId="0" borderId="2" xfId="3" applyNumberFormat="1" applyFont="1" applyFill="1" applyBorder="1" applyAlignment="1">
      <alignment vertical="center"/>
    </xf>
    <xf numFmtId="176" fontId="5" fillId="0" borderId="3" xfId="3" applyNumberFormat="1" applyFont="1" applyFill="1" applyBorder="1" applyAlignment="1">
      <alignment vertical="center"/>
    </xf>
    <xf numFmtId="176" fontId="5" fillId="0" borderId="20" xfId="3" applyNumberFormat="1" applyFont="1" applyFill="1" applyBorder="1" applyAlignment="1">
      <alignment vertical="center"/>
    </xf>
    <xf numFmtId="0" fontId="5" fillId="0" borderId="20" xfId="3" applyNumberFormat="1" applyFont="1" applyFill="1" applyBorder="1" applyAlignment="1">
      <alignment horizontal="distributed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1" xfId="3" applyNumberFormat="1" applyFont="1" applyFill="1" applyBorder="1" applyAlignment="1">
      <alignment vertical="center"/>
    </xf>
    <xf numFmtId="176" fontId="8" fillId="0" borderId="18" xfId="3" applyNumberFormat="1" applyFont="1" applyFill="1" applyBorder="1" applyAlignment="1">
      <alignment vertical="center"/>
    </xf>
    <xf numFmtId="0" fontId="8" fillId="0" borderId="0" xfId="3" applyNumberFormat="1" applyFont="1" applyFill="1" applyBorder="1" applyAlignment="1">
      <alignment horizontal="distributed" vertical="center"/>
    </xf>
    <xf numFmtId="176" fontId="5" fillId="0" borderId="21" xfId="3" applyNumberFormat="1" applyFont="1" applyFill="1" applyBorder="1" applyAlignment="1">
      <alignment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6" xfId="3" applyNumberFormat="1" applyFont="1" applyFill="1" applyBorder="1"/>
    <xf numFmtId="176" fontId="5" fillId="0" borderId="19" xfId="3" applyNumberFormat="1" applyFont="1" applyFill="1" applyBorder="1"/>
    <xf numFmtId="176" fontId="5" fillId="0" borderId="19" xfId="3" applyNumberFormat="1" applyFont="1" applyFill="1" applyBorder="1" applyAlignment="1">
      <alignment vertical="center"/>
    </xf>
    <xf numFmtId="0" fontId="9" fillId="0" borderId="19" xfId="4" applyFont="1" applyFill="1" applyBorder="1" applyAlignment="1">
      <alignment horizontal="left"/>
    </xf>
    <xf numFmtId="0" fontId="5" fillId="0" borderId="19" xfId="3" applyNumberFormat="1" applyFont="1" applyFill="1" applyBorder="1" applyAlignment="1">
      <alignment horizontal="left" vertical="center"/>
    </xf>
    <xf numFmtId="0" fontId="5" fillId="0" borderId="19" xfId="3" applyNumberFormat="1" applyFont="1" applyFill="1" applyBorder="1"/>
    <xf numFmtId="176" fontId="8" fillId="0" borderId="2" xfId="3" applyNumberFormat="1" applyFont="1" applyFill="1" applyBorder="1" applyAlignment="1">
      <alignment vertical="center"/>
    </xf>
    <xf numFmtId="176" fontId="8" fillId="0" borderId="3" xfId="3" applyNumberFormat="1" applyFont="1" applyFill="1" applyBorder="1" applyAlignment="1">
      <alignment vertical="center"/>
    </xf>
    <xf numFmtId="38" fontId="5" fillId="0" borderId="7" xfId="3" applyFont="1" applyFill="1" applyBorder="1" applyAlignment="1">
      <alignment horizontal="right"/>
    </xf>
    <xf numFmtId="0" fontId="5" fillId="0" borderId="13" xfId="3" applyNumberFormat="1" applyFont="1" applyFill="1" applyBorder="1" applyAlignment="1">
      <alignment horizontal="right"/>
    </xf>
    <xf numFmtId="0" fontId="5" fillId="0" borderId="14" xfId="3" applyNumberFormat="1" applyFont="1" applyFill="1" applyBorder="1" applyAlignment="1">
      <alignment horizontal="right"/>
    </xf>
    <xf numFmtId="0" fontId="5" fillId="0" borderId="15" xfId="3" applyNumberFormat="1" applyFont="1" applyFill="1" applyBorder="1" applyAlignment="1">
      <alignment horizontal="right"/>
    </xf>
    <xf numFmtId="0" fontId="5" fillId="0" borderId="2" xfId="3" applyNumberFormat="1" applyFont="1" applyFill="1" applyBorder="1" applyAlignment="1">
      <alignment horizontal="center" vertical="center" textRotation="255"/>
    </xf>
    <xf numFmtId="0" fontId="5" fillId="0" borderId="1" xfId="3" applyNumberFormat="1" applyFont="1" applyFill="1" applyBorder="1" applyAlignment="1">
      <alignment horizontal="center" vertical="center" textRotation="255"/>
    </xf>
    <xf numFmtId="0" fontId="5" fillId="0" borderId="1" xfId="3" applyNumberFormat="1" applyFont="1" applyFill="1" applyBorder="1" applyAlignment="1">
      <alignment horizontal="center" vertical="center" textRotation="255" wrapText="1"/>
    </xf>
    <xf numFmtId="0" fontId="5" fillId="0" borderId="0" xfId="3" applyNumberFormat="1" applyFont="1" applyFill="1" applyBorder="1" applyAlignment="1">
      <alignment horizontal="center" vertical="center" textRotation="255"/>
    </xf>
    <xf numFmtId="0" fontId="5" fillId="0" borderId="18" xfId="3" applyNumberFormat="1" applyFont="1" applyFill="1" applyBorder="1" applyAlignment="1">
      <alignment horizontal="center" vertical="top" textRotation="255"/>
    </xf>
    <xf numFmtId="0" fontId="5" fillId="0" borderId="7" xfId="3" applyNumberFormat="1" applyFont="1" applyFill="1" applyBorder="1" applyAlignment="1">
      <alignment horizontal="center" vertical="distributed" textRotation="255"/>
    </xf>
    <xf numFmtId="0" fontId="5" fillId="0" borderId="1" xfId="3" applyNumberFormat="1" applyFont="1" applyFill="1" applyBorder="1" applyAlignment="1">
      <alignment horizontal="center" vertical="distributed" textRotation="255"/>
    </xf>
    <xf numFmtId="0" fontId="5" fillId="0" borderId="1" xfId="3" applyNumberFormat="1" applyFont="1" applyFill="1" applyBorder="1" applyAlignment="1">
      <alignment horizontal="center" vertical="distributed" textRotation="255" wrapText="1"/>
    </xf>
    <xf numFmtId="0" fontId="5" fillId="0" borderId="0" xfId="3" applyNumberFormat="1" applyFont="1" applyFill="1" applyBorder="1" applyAlignment="1">
      <alignment horizontal="center" vertical="distributed" textRotation="255"/>
    </xf>
    <xf numFmtId="0" fontId="5" fillId="0" borderId="18" xfId="3" applyNumberFormat="1" applyFont="1" applyFill="1" applyBorder="1" applyAlignment="1">
      <alignment horizontal="center" vertical="distributed"/>
    </xf>
    <xf numFmtId="0" fontId="5" fillId="0" borderId="16" xfId="3" applyNumberFormat="1" applyFont="1" applyFill="1" applyBorder="1"/>
    <xf numFmtId="0" fontId="5" fillId="0" borderId="13" xfId="3" applyNumberFormat="1" applyFont="1" applyFill="1" applyBorder="1"/>
    <xf numFmtId="0" fontId="5" fillId="0" borderId="15" xfId="3" applyNumberFormat="1" applyFont="1" applyFill="1" applyBorder="1"/>
    <xf numFmtId="0" fontId="11" fillId="0" borderId="0" xfId="3" applyNumberFormat="1" applyFont="1" applyFill="1" applyBorder="1" applyAlignment="1">
      <alignment horizontal="left" vertical="center"/>
    </xf>
    <xf numFmtId="176" fontId="5" fillId="0" borderId="9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vertical="center"/>
    </xf>
    <xf numFmtId="176" fontId="8" fillId="0" borderId="22" xfId="3" applyNumberFormat="1" applyFont="1" applyFill="1" applyBorder="1" applyAlignment="1">
      <alignment vertical="center"/>
    </xf>
    <xf numFmtId="0" fontId="6" fillId="0" borderId="0" xfId="4" applyFont="1"/>
    <xf numFmtId="177" fontId="6" fillId="0" borderId="0" xfId="4" applyNumberFormat="1" applyFont="1"/>
    <xf numFmtId="0" fontId="13" fillId="0" borderId="0" xfId="4" applyFont="1" applyAlignment="1">
      <alignment vertical="center"/>
    </xf>
    <xf numFmtId="177" fontId="13" fillId="0" borderId="0" xfId="4" applyNumberFormat="1" applyFont="1" applyAlignment="1">
      <alignment vertical="center"/>
    </xf>
    <xf numFmtId="178" fontId="13" fillId="0" borderId="6" xfId="4" applyNumberFormat="1" applyFont="1" applyBorder="1" applyAlignment="1">
      <alignment vertical="center"/>
    </xf>
    <xf numFmtId="179" fontId="13" fillId="0" borderId="20" xfId="3" applyNumberFormat="1" applyFont="1" applyBorder="1" applyAlignment="1">
      <alignment horizontal="right" vertical="center"/>
    </xf>
    <xf numFmtId="178" fontId="13" fillId="0" borderId="20" xfId="4" applyNumberFormat="1" applyFont="1" applyBorder="1" applyAlignment="1">
      <alignment vertical="center"/>
    </xf>
    <xf numFmtId="178" fontId="13" fillId="0" borderId="23" xfId="4" applyNumberFormat="1" applyFont="1" applyBorder="1" applyAlignment="1">
      <alignment vertical="center"/>
    </xf>
    <xf numFmtId="178" fontId="13" fillId="0" borderId="20" xfId="3" applyNumberFormat="1" applyFont="1" applyBorder="1" applyAlignment="1">
      <alignment horizontal="right" vertical="center"/>
    </xf>
    <xf numFmtId="178" fontId="13" fillId="0" borderId="22" xfId="4" applyNumberFormat="1" applyFont="1" applyBorder="1" applyAlignment="1">
      <alignment vertical="center"/>
    </xf>
    <xf numFmtId="178" fontId="13" fillId="0" borderId="5" xfId="4" applyNumberFormat="1" applyFont="1" applyBorder="1" applyAlignment="1">
      <alignment vertical="center"/>
    </xf>
    <xf numFmtId="0" fontId="13" fillId="0" borderId="20" xfId="4" applyFont="1" applyBorder="1" applyAlignment="1">
      <alignment vertical="center"/>
    </xf>
    <xf numFmtId="0" fontId="13" fillId="0" borderId="20" xfId="4" applyFont="1" applyBorder="1" applyAlignment="1">
      <alignment horizontal="distributed" vertical="center"/>
    </xf>
    <xf numFmtId="0" fontId="13" fillId="0" borderId="5" xfId="4" applyFont="1" applyBorder="1" applyAlignment="1">
      <alignment vertical="center"/>
    </xf>
    <xf numFmtId="178" fontId="13" fillId="0" borderId="10" xfId="4" applyNumberFormat="1" applyFont="1" applyBorder="1" applyAlignment="1">
      <alignment vertical="center"/>
    </xf>
    <xf numFmtId="179" fontId="13" fillId="0" borderId="0" xfId="3" applyNumberFormat="1" applyFont="1" applyBorder="1" applyAlignment="1">
      <alignment horizontal="right" vertical="center"/>
    </xf>
    <xf numFmtId="178" fontId="13" fillId="0" borderId="0" xfId="4" applyNumberFormat="1" applyFont="1" applyBorder="1" applyAlignment="1">
      <alignment vertical="center"/>
    </xf>
    <xf numFmtId="178" fontId="13" fillId="0" borderId="24" xfId="4" applyNumberFormat="1" applyFont="1" applyBorder="1" applyAlignment="1">
      <alignment vertical="center"/>
    </xf>
    <xf numFmtId="178" fontId="13" fillId="0" borderId="0" xfId="3" applyNumberFormat="1" applyFont="1" applyBorder="1" applyAlignment="1">
      <alignment horizontal="right" vertical="center"/>
    </xf>
    <xf numFmtId="178" fontId="13" fillId="0" borderId="21" xfId="4" applyNumberFormat="1" applyFont="1" applyBorder="1" applyAlignment="1">
      <alignment vertical="center"/>
    </xf>
    <xf numFmtId="178" fontId="13" fillId="0" borderId="9" xfId="4" applyNumberFormat="1" applyFont="1" applyBorder="1" applyAlignment="1">
      <alignment vertical="center"/>
    </xf>
    <xf numFmtId="0" fontId="13" fillId="0" borderId="0" xfId="4" applyFont="1" applyBorder="1" applyAlignment="1">
      <alignment vertical="center"/>
    </xf>
    <xf numFmtId="0" fontId="13" fillId="0" borderId="0" xfId="4" applyFont="1" applyBorder="1" applyAlignment="1">
      <alignment horizontal="distributed" vertical="center"/>
    </xf>
    <xf numFmtId="0" fontId="13" fillId="0" borderId="9" xfId="4" applyFont="1" applyBorder="1" applyAlignment="1">
      <alignment vertical="center"/>
    </xf>
    <xf numFmtId="178" fontId="13" fillId="0" borderId="25" xfId="4" applyNumberFormat="1" applyFont="1" applyBorder="1" applyAlignment="1">
      <alignment vertical="center"/>
    </xf>
    <xf numFmtId="179" fontId="3" fillId="0" borderId="26" xfId="3" applyNumberFormat="1" applyFont="1" applyBorder="1" applyAlignment="1">
      <alignment horizontal="right" vertical="center"/>
    </xf>
    <xf numFmtId="178" fontId="13" fillId="0" borderId="26" xfId="4" applyNumberFormat="1" applyFont="1" applyBorder="1" applyAlignment="1">
      <alignment vertical="center"/>
    </xf>
    <xf numFmtId="178" fontId="13" fillId="0" borderId="27" xfId="4" applyNumberFormat="1" applyFont="1" applyBorder="1" applyAlignment="1">
      <alignment horizontal="center" vertical="center"/>
    </xf>
    <xf numFmtId="178" fontId="3" fillId="0" borderId="26" xfId="3" applyNumberFormat="1" applyFont="1" applyBorder="1" applyAlignment="1">
      <alignment horizontal="right" vertical="center"/>
    </xf>
    <xf numFmtId="178" fontId="13" fillId="0" borderId="28" xfId="4" applyNumberFormat="1" applyFont="1" applyBorder="1" applyAlignment="1">
      <alignment vertical="center"/>
    </xf>
    <xf numFmtId="178" fontId="13" fillId="0" borderId="26" xfId="4" applyNumberFormat="1" applyFont="1" applyBorder="1" applyAlignment="1">
      <alignment horizontal="center" vertical="center"/>
    </xf>
    <xf numFmtId="178" fontId="13" fillId="0" borderId="29" xfId="4" applyNumberFormat="1" applyFont="1" applyBorder="1" applyAlignment="1">
      <alignment vertical="center"/>
    </xf>
    <xf numFmtId="0" fontId="13" fillId="0" borderId="26" xfId="4" applyFont="1" applyBorder="1" applyAlignment="1">
      <alignment vertical="center"/>
    </xf>
    <xf numFmtId="0" fontId="13" fillId="0" borderId="26" xfId="4" applyFont="1" applyBorder="1" applyAlignment="1">
      <alignment horizontal="center" vertical="center"/>
    </xf>
    <xf numFmtId="0" fontId="13" fillId="0" borderId="29" xfId="4" applyFont="1" applyBorder="1" applyAlignment="1">
      <alignment vertical="center"/>
    </xf>
    <xf numFmtId="0" fontId="13" fillId="0" borderId="16" xfId="4" applyFont="1" applyBorder="1" applyAlignment="1">
      <alignment vertical="center"/>
    </xf>
    <xf numFmtId="0" fontId="13" fillId="0" borderId="19" xfId="4" applyFont="1" applyBorder="1" applyAlignment="1">
      <alignment horizontal="distributed" vertical="center"/>
    </xf>
    <xf numFmtId="0" fontId="13" fillId="0" borderId="19" xfId="4" applyFont="1" applyBorder="1" applyAlignment="1">
      <alignment vertical="center"/>
    </xf>
    <xf numFmtId="0" fontId="13" fillId="0" borderId="30" xfId="4" applyFont="1" applyBorder="1" applyAlignment="1">
      <alignment vertical="center"/>
    </xf>
    <xf numFmtId="0" fontId="13" fillId="0" borderId="31" xfId="4" applyFont="1" applyBorder="1" applyAlignment="1">
      <alignment vertical="center"/>
    </xf>
    <xf numFmtId="0" fontId="13" fillId="0" borderId="17" xfId="4" applyFont="1" applyBorder="1" applyAlignment="1">
      <alignment vertical="center"/>
    </xf>
    <xf numFmtId="0" fontId="13" fillId="0" borderId="0" xfId="4" applyFont="1" applyAlignment="1">
      <alignment horizontal="right" vertical="center"/>
    </xf>
    <xf numFmtId="176" fontId="8" fillId="0" borderId="20" xfId="3" applyNumberFormat="1" applyFont="1" applyFill="1" applyBorder="1" applyAlignment="1">
      <alignment vertical="center"/>
    </xf>
    <xf numFmtId="176" fontId="3" fillId="0" borderId="20" xfId="3" applyNumberFormat="1" applyFont="1" applyFill="1" applyBorder="1" applyAlignment="1">
      <alignment vertical="center"/>
    </xf>
    <xf numFmtId="0" fontId="13" fillId="0" borderId="26" xfId="4" applyFont="1" applyBorder="1" applyAlignment="1">
      <alignment horizontal="distributed" vertical="center"/>
    </xf>
    <xf numFmtId="176" fontId="5" fillId="0" borderId="14" xfId="4" applyNumberFormat="1" applyFont="1" applyFill="1" applyBorder="1" applyAlignment="1">
      <alignment horizontal="right" vertical="center"/>
    </xf>
    <xf numFmtId="176" fontId="5" fillId="0" borderId="13" xfId="4" applyNumberFormat="1" applyFont="1" applyFill="1" applyBorder="1" applyAlignment="1">
      <alignment horizontal="right" vertical="center"/>
    </xf>
    <xf numFmtId="176" fontId="5" fillId="0" borderId="12" xfId="4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vertical="center"/>
    </xf>
    <xf numFmtId="0" fontId="22" fillId="0" borderId="20" xfId="3" applyNumberFormat="1" applyFont="1" applyFill="1" applyBorder="1" applyAlignment="1">
      <alignment vertical="center"/>
    </xf>
    <xf numFmtId="0" fontId="22" fillId="0" borderId="0" xfId="3" applyNumberFormat="1" applyFont="1" applyFill="1" applyBorder="1" applyAlignment="1">
      <alignment vertical="center"/>
    </xf>
    <xf numFmtId="38" fontId="5" fillId="0" borderId="0" xfId="2" applyFont="1" applyFill="1"/>
    <xf numFmtId="176" fontId="16" fillId="0" borderId="0" xfId="2" applyNumberFormat="1" applyFont="1" applyFill="1" applyAlignment="1">
      <alignment horizontal="right"/>
    </xf>
    <xf numFmtId="38" fontId="16" fillId="0" borderId="0" xfId="2" applyFont="1" applyFill="1" applyAlignment="1">
      <alignment horizontal="right"/>
    </xf>
    <xf numFmtId="0" fontId="5" fillId="0" borderId="0" xfId="2" applyNumberFormat="1" applyFont="1" applyFill="1"/>
    <xf numFmtId="176" fontId="16" fillId="0" borderId="0" xfId="2" applyNumberFormat="1" applyFont="1" applyFill="1" applyBorder="1" applyAlignment="1">
      <alignment horizontal="right" vertical="center"/>
    </xf>
    <xf numFmtId="0" fontId="5" fillId="0" borderId="0" xfId="2" applyNumberFormat="1" applyFont="1" applyFill="1" applyBorder="1" applyAlignment="1">
      <alignment horizontal="distributed"/>
    </xf>
    <xf numFmtId="0" fontId="5" fillId="0" borderId="0" xfId="2" applyNumberFormat="1" applyFont="1" applyFill="1" applyBorder="1" applyAlignment="1">
      <alignment horizontal="distributed" vertical="center"/>
    </xf>
    <xf numFmtId="0" fontId="9" fillId="0" borderId="0" xfId="4" applyFont="1" applyFill="1" applyBorder="1" applyAlignment="1">
      <alignment horizontal="center"/>
    </xf>
    <xf numFmtId="0" fontId="5" fillId="0" borderId="0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/>
    <xf numFmtId="176" fontId="17" fillId="0" borderId="2" xfId="2" applyNumberFormat="1" applyFont="1" applyFill="1" applyBorder="1" applyAlignment="1">
      <alignment horizontal="right" vertical="center"/>
    </xf>
    <xf numFmtId="176" fontId="17" fillId="0" borderId="3" xfId="2" applyNumberFormat="1" applyFont="1" applyFill="1" applyBorder="1" applyAlignment="1">
      <alignment horizontal="right" vertical="center"/>
    </xf>
    <xf numFmtId="176" fontId="17" fillId="0" borderId="4" xfId="2" applyNumberFormat="1" applyFont="1" applyFill="1" applyBorder="1" applyAlignment="1">
      <alignment horizontal="right" vertical="center"/>
    </xf>
    <xf numFmtId="176" fontId="16" fillId="0" borderId="11" xfId="2" applyNumberFormat="1" applyFont="1" applyFill="1" applyBorder="1" applyAlignment="1">
      <alignment horizontal="right" vertical="center"/>
    </xf>
    <xf numFmtId="0" fontId="5" fillId="0" borderId="6" xfId="2" applyNumberFormat="1" applyFont="1" applyFill="1" applyBorder="1" applyAlignment="1">
      <alignment horizontal="distributed"/>
    </xf>
    <xf numFmtId="0" fontId="5" fillId="0" borderId="20" xfId="2" applyNumberFormat="1" applyFont="1" applyFill="1" applyBorder="1" applyAlignment="1">
      <alignment horizontal="distributed" vertical="center"/>
    </xf>
    <xf numFmtId="0" fontId="9" fillId="0" borderId="20" xfId="4" applyFont="1" applyFill="1" applyBorder="1" applyAlignment="1">
      <alignment horizontal="right" vertical="center" indent="3"/>
    </xf>
    <xf numFmtId="0" fontId="5" fillId="0" borderId="5" xfId="2" applyNumberFormat="1" applyFont="1" applyFill="1" applyBorder="1"/>
    <xf numFmtId="176" fontId="17" fillId="0" borderId="7" xfId="2" applyNumberFormat="1" applyFont="1" applyFill="1" applyBorder="1" applyAlignment="1">
      <alignment horizontal="right" vertical="center"/>
    </xf>
    <xf numFmtId="176" fontId="17" fillId="0" borderId="1" xfId="2" applyNumberFormat="1" applyFont="1" applyFill="1" applyBorder="1" applyAlignment="1">
      <alignment horizontal="right" vertical="center"/>
    </xf>
    <xf numFmtId="176" fontId="17" fillId="0" borderId="8" xfId="2" applyNumberFormat="1" applyFont="1" applyFill="1" applyBorder="1" applyAlignment="1">
      <alignment horizontal="right" vertical="center"/>
    </xf>
    <xf numFmtId="176" fontId="16" fillId="0" borderId="18" xfId="2" applyNumberFormat="1" applyFont="1" applyFill="1" applyBorder="1" applyAlignment="1">
      <alignment horizontal="right" vertical="center"/>
    </xf>
    <xf numFmtId="0" fontId="5" fillId="0" borderId="10" xfId="2" applyNumberFormat="1" applyFont="1" applyFill="1" applyBorder="1" applyAlignment="1">
      <alignment horizontal="distributed"/>
    </xf>
    <xf numFmtId="0" fontId="5" fillId="0" borderId="0" xfId="4" applyFont="1" applyFill="1" applyBorder="1" applyAlignment="1">
      <alignment horizontal="right" vertical="center" indent="3"/>
    </xf>
    <xf numFmtId="0" fontId="5" fillId="0" borderId="0" xfId="4" applyFont="1" applyFill="1" applyBorder="1" applyAlignment="1">
      <alignment horizontal="right" vertical="center" indent="2"/>
    </xf>
    <xf numFmtId="0" fontId="5" fillId="0" borderId="0" xfId="2" applyNumberFormat="1" applyFont="1" applyFill="1" applyBorder="1" applyAlignment="1">
      <alignment vertical="center"/>
    </xf>
    <xf numFmtId="0" fontId="5" fillId="0" borderId="9" xfId="2" applyNumberFormat="1" applyFont="1" applyFill="1" applyBorder="1"/>
    <xf numFmtId="0" fontId="9" fillId="0" borderId="0" xfId="4" applyFont="1" applyFill="1" applyBorder="1" applyAlignment="1">
      <alignment horizontal="right" vertical="center" indent="3"/>
    </xf>
    <xf numFmtId="0" fontId="5" fillId="0" borderId="0" xfId="2" applyNumberFormat="1" applyFont="1" applyFill="1" applyBorder="1" applyAlignment="1">
      <alignment horizontal="right" vertical="center" indent="2"/>
    </xf>
    <xf numFmtId="176" fontId="17" fillId="0" borderId="12" xfId="2" applyNumberFormat="1" applyFont="1" applyFill="1" applyBorder="1" applyAlignment="1">
      <alignment horizontal="right"/>
    </xf>
    <xf numFmtId="176" fontId="17" fillId="0" borderId="13" xfId="2" applyNumberFormat="1" applyFont="1" applyFill="1" applyBorder="1" applyAlignment="1">
      <alignment horizontal="right"/>
    </xf>
    <xf numFmtId="176" fontId="17" fillId="0" borderId="14" xfId="2" applyNumberFormat="1" applyFont="1" applyFill="1" applyBorder="1" applyAlignment="1">
      <alignment horizontal="right"/>
    </xf>
    <xf numFmtId="176" fontId="16" fillId="0" borderId="15" xfId="2" applyNumberFormat="1" applyFont="1" applyFill="1" applyBorder="1" applyAlignment="1">
      <alignment horizontal="right"/>
    </xf>
    <xf numFmtId="0" fontId="5" fillId="0" borderId="16" xfId="2" applyNumberFormat="1" applyFont="1" applyFill="1" applyBorder="1" applyAlignment="1">
      <alignment horizontal="left" wrapText="1"/>
    </xf>
    <xf numFmtId="0" fontId="5" fillId="0" borderId="17" xfId="2" applyNumberFormat="1" applyFont="1" applyFill="1" applyBorder="1" applyAlignment="1">
      <alignment horizontal="left" wrapText="1"/>
    </xf>
    <xf numFmtId="176" fontId="17" fillId="0" borderId="2" xfId="2" applyNumberFormat="1" applyFont="1" applyFill="1" applyBorder="1" applyAlignment="1">
      <alignment horizontal="right" vertical="center" textRotation="255"/>
    </xf>
    <xf numFmtId="176" fontId="17" fillId="0" borderId="3" xfId="2" applyNumberFormat="1" applyFont="1" applyFill="1" applyBorder="1" applyAlignment="1">
      <alignment horizontal="right" vertical="center" textRotation="255"/>
    </xf>
    <xf numFmtId="176" fontId="17" fillId="0" borderId="3" xfId="2" applyNumberFormat="1" applyFont="1" applyFill="1" applyBorder="1" applyAlignment="1">
      <alignment horizontal="right" vertical="center" textRotation="255" wrapText="1"/>
    </xf>
    <xf numFmtId="176" fontId="17" fillId="0" borderId="20" xfId="2" applyNumberFormat="1" applyFont="1" applyFill="1" applyBorder="1" applyAlignment="1">
      <alignment horizontal="right" vertical="center" textRotation="255"/>
    </xf>
    <xf numFmtId="176" fontId="16" fillId="0" borderId="11" xfId="2" applyNumberFormat="1" applyFont="1" applyFill="1" applyBorder="1" applyAlignment="1">
      <alignment horizontal="right" vertical="top" textRotation="255"/>
    </xf>
    <xf numFmtId="176" fontId="17" fillId="0" borderId="12" xfId="2" applyNumberFormat="1" applyFont="1" applyFill="1" applyBorder="1" applyAlignment="1">
      <alignment horizontal="center" vertical="distributed" textRotation="255"/>
    </xf>
    <xf numFmtId="176" fontId="17" fillId="0" borderId="13" xfId="2" applyNumberFormat="1" applyFont="1" applyFill="1" applyBorder="1" applyAlignment="1">
      <alignment horizontal="center" vertical="distributed" textRotation="255"/>
    </xf>
    <xf numFmtId="176" fontId="17" fillId="0" borderId="13" xfId="2" applyNumberFormat="1" applyFont="1" applyFill="1" applyBorder="1" applyAlignment="1">
      <alignment horizontal="center" vertical="distributed" textRotation="255" wrapText="1"/>
    </xf>
    <xf numFmtId="176" fontId="17" fillId="0" borderId="19" xfId="2" applyNumberFormat="1" applyFont="1" applyFill="1" applyBorder="1" applyAlignment="1">
      <alignment horizontal="center" vertical="distributed" textRotation="255"/>
    </xf>
    <xf numFmtId="176" fontId="16" fillId="0" borderId="15" xfId="2" applyNumberFormat="1" applyFont="1" applyFill="1" applyBorder="1" applyAlignment="1">
      <alignment horizontal="center" vertical="distributed"/>
    </xf>
    <xf numFmtId="176" fontId="17" fillId="0" borderId="0" xfId="2" applyNumberFormat="1" applyFont="1" applyFill="1" applyBorder="1" applyAlignment="1">
      <alignment horizontal="right"/>
    </xf>
    <xf numFmtId="176" fontId="16" fillId="0" borderId="0" xfId="2" applyNumberFormat="1" applyFont="1" applyFill="1" applyBorder="1" applyAlignment="1">
      <alignment horizontal="right"/>
    </xf>
    <xf numFmtId="0" fontId="4" fillId="0" borderId="0" xfId="4" applyFill="1" applyBorder="1" applyAlignment="1"/>
    <xf numFmtId="0" fontId="6" fillId="0" borderId="0" xfId="2" applyNumberFormat="1" applyFont="1" applyFill="1" applyBorder="1" applyAlignment="1"/>
    <xf numFmtId="176" fontId="17" fillId="0" borderId="24" xfId="2" applyNumberFormat="1" applyFont="1" applyFill="1" applyBorder="1" applyAlignment="1">
      <alignment horizontal="right" vertical="center"/>
    </xf>
    <xf numFmtId="176" fontId="16" fillId="0" borderId="7" xfId="2" applyNumberFormat="1" applyFont="1" applyFill="1" applyBorder="1" applyAlignment="1">
      <alignment horizontal="right" vertical="center" shrinkToFit="1"/>
    </xf>
    <xf numFmtId="176" fontId="16" fillId="0" borderId="1" xfId="2" applyNumberFormat="1" applyFont="1" applyFill="1" applyBorder="1" applyAlignment="1">
      <alignment horizontal="right" vertical="center" shrinkToFit="1"/>
    </xf>
    <xf numFmtId="176" fontId="16" fillId="0" borderId="8" xfId="2" applyNumberFormat="1" applyFont="1" applyFill="1" applyBorder="1" applyAlignment="1">
      <alignment horizontal="right" vertical="center" shrinkToFit="1"/>
    </xf>
    <xf numFmtId="0" fontId="10" fillId="0" borderId="0" xfId="4" applyFont="1" applyFill="1" applyBorder="1" applyAlignment="1">
      <alignment horizontal="right" vertical="center" indent="2"/>
    </xf>
    <xf numFmtId="0" fontId="5" fillId="0" borderId="0" xfId="4" applyFont="1" applyFill="1" applyBorder="1" applyAlignment="1">
      <alignment horizontal="distributed" vertical="center"/>
    </xf>
    <xf numFmtId="0" fontId="9" fillId="0" borderId="0" xfId="4" applyFont="1" applyFill="1" applyBorder="1" applyAlignment="1"/>
    <xf numFmtId="0" fontId="9" fillId="0" borderId="0" xfId="4" applyFont="1" applyFill="1" applyBorder="1" applyAlignment="1">
      <alignment horizontal="left"/>
    </xf>
    <xf numFmtId="0" fontId="5" fillId="0" borderId="0" xfId="2" applyNumberFormat="1" applyFont="1" applyFill="1" applyBorder="1" applyAlignment="1">
      <alignment horizontal="left" vertical="center"/>
    </xf>
    <xf numFmtId="0" fontId="10" fillId="0" borderId="0" xfId="4" applyFont="1" applyFill="1" applyBorder="1" applyAlignment="1">
      <alignment horizontal="right" vertical="center" indent="3"/>
    </xf>
    <xf numFmtId="38" fontId="5" fillId="2" borderId="0" xfId="2" applyFont="1" applyFill="1"/>
    <xf numFmtId="0" fontId="4" fillId="0" borderId="0" xfId="4" applyFont="1" applyFill="1" applyBorder="1" applyAlignment="1"/>
    <xf numFmtId="176" fontId="16" fillId="0" borderId="7" xfId="2" applyNumberFormat="1" applyFont="1" applyFill="1" applyBorder="1" applyAlignment="1">
      <alignment shrinkToFit="1"/>
    </xf>
    <xf numFmtId="176" fontId="16" fillId="0" borderId="1" xfId="2" applyNumberFormat="1" applyFont="1" applyFill="1" applyBorder="1" applyAlignment="1">
      <alignment shrinkToFit="1"/>
    </xf>
    <xf numFmtId="176" fontId="16" fillId="0" borderId="8" xfId="2" applyNumberFormat="1" applyFont="1" applyFill="1" applyBorder="1" applyAlignment="1">
      <alignment shrinkToFit="1"/>
    </xf>
    <xf numFmtId="0" fontId="5" fillId="0" borderId="9" xfId="2" applyNumberFormat="1" applyFont="1" applyFill="1" applyBorder="1" applyAlignment="1">
      <alignment horizontal="left" wrapText="1"/>
    </xf>
    <xf numFmtId="0" fontId="10" fillId="0" borderId="0" xfId="4" applyFont="1" applyFill="1" applyBorder="1" applyAlignment="1">
      <alignment horizontal="distributed" vertical="center"/>
    </xf>
    <xf numFmtId="176" fontId="17" fillId="0" borderId="0" xfId="2" applyNumberFormat="1" applyFont="1" applyFill="1" applyBorder="1" applyAlignment="1">
      <alignment horizontal="right" vertical="center"/>
    </xf>
    <xf numFmtId="176" fontId="25" fillId="0" borderId="1" xfId="2" applyNumberFormat="1" applyFont="1" applyFill="1" applyBorder="1" applyAlignment="1">
      <alignment horizontal="right" vertical="center"/>
    </xf>
    <xf numFmtId="176" fontId="17" fillId="0" borderId="23" xfId="2" applyNumberFormat="1" applyFont="1" applyFill="1" applyBorder="1" applyAlignment="1">
      <alignment horizontal="right" vertical="center"/>
    </xf>
    <xf numFmtId="38" fontId="5" fillId="0" borderId="0" xfId="2" applyFont="1" applyFill="1" applyBorder="1"/>
    <xf numFmtId="176" fontId="17" fillId="2" borderId="0" xfId="2" applyNumberFormat="1" applyFont="1" applyFill="1" applyBorder="1" applyAlignment="1">
      <alignment horizontal="right" vertical="center"/>
    </xf>
    <xf numFmtId="176" fontId="17" fillId="0" borderId="30" xfId="2" applyNumberFormat="1" applyFont="1" applyFill="1" applyBorder="1" applyAlignment="1">
      <alignment horizontal="right"/>
    </xf>
    <xf numFmtId="176" fontId="16" fillId="0" borderId="11" xfId="2" applyNumberFormat="1" applyFont="1" applyFill="1" applyBorder="1" applyAlignment="1">
      <alignment vertical="center" shrinkToFit="1"/>
    </xf>
    <xf numFmtId="176" fontId="16" fillId="0" borderId="7" xfId="2" applyNumberFormat="1" applyFont="1" applyFill="1" applyBorder="1" applyAlignment="1">
      <alignment vertical="center"/>
    </xf>
    <xf numFmtId="176" fontId="16" fillId="0" borderId="1" xfId="2" applyNumberFormat="1" applyFont="1" applyFill="1" applyBorder="1" applyAlignment="1">
      <alignment vertical="center"/>
    </xf>
    <xf numFmtId="176" fontId="16" fillId="0" borderId="8" xfId="2" applyNumberFormat="1" applyFont="1" applyFill="1" applyBorder="1" applyAlignment="1">
      <alignment vertical="center"/>
    </xf>
    <xf numFmtId="176" fontId="16" fillId="0" borderId="18" xfId="2" applyNumberFormat="1" applyFont="1" applyFill="1" applyBorder="1" applyAlignment="1">
      <alignment vertical="center" shrinkToFit="1"/>
    </xf>
    <xf numFmtId="176" fontId="17" fillId="0" borderId="12" xfId="2" applyNumberFormat="1" applyFont="1" applyFill="1" applyBorder="1" applyAlignment="1">
      <alignment horizontal="right" vertical="center"/>
    </xf>
    <xf numFmtId="176" fontId="17" fillId="0" borderId="13" xfId="2" applyNumberFormat="1" applyFont="1" applyFill="1" applyBorder="1" applyAlignment="1">
      <alignment horizontal="right" vertical="center"/>
    </xf>
    <xf numFmtId="176" fontId="17" fillId="0" borderId="14" xfId="2" applyNumberFormat="1" applyFont="1" applyFill="1" applyBorder="1" applyAlignment="1">
      <alignment horizontal="right" vertical="center"/>
    </xf>
    <xf numFmtId="0" fontId="5" fillId="0" borderId="19" xfId="2" applyNumberFormat="1" applyFont="1" applyFill="1" applyBorder="1" applyAlignment="1">
      <alignment horizontal="distributed"/>
    </xf>
    <xf numFmtId="0" fontId="5" fillId="0" borderId="19" xfId="2" applyNumberFormat="1" applyFont="1" applyFill="1" applyBorder="1" applyAlignment="1">
      <alignment horizontal="distributed" vertical="center"/>
    </xf>
    <xf numFmtId="0" fontId="5" fillId="0" borderId="19" xfId="4" applyFont="1" applyFill="1" applyBorder="1" applyAlignment="1">
      <alignment horizontal="distributed" vertical="center"/>
    </xf>
    <xf numFmtId="0" fontId="5" fillId="0" borderId="17" xfId="2" applyNumberFormat="1" applyFont="1" applyFill="1" applyBorder="1"/>
    <xf numFmtId="176" fontId="17" fillId="0" borderId="7" xfId="2" applyNumberFormat="1" applyFont="1" applyFill="1" applyBorder="1" applyAlignment="1">
      <alignment horizontal="right" vertical="center" shrinkToFit="1"/>
    </xf>
    <xf numFmtId="176" fontId="17" fillId="0" borderId="24" xfId="2" applyNumberFormat="1" applyFont="1" applyFill="1" applyBorder="1" applyAlignment="1">
      <alignment horizontal="right" vertical="center" shrinkToFit="1"/>
    </xf>
    <xf numFmtId="176" fontId="16" fillId="0" borderId="24" xfId="2" applyNumberFormat="1" applyFont="1" applyFill="1" applyBorder="1" applyAlignment="1">
      <alignment horizontal="right" vertical="center" shrinkToFit="1"/>
    </xf>
    <xf numFmtId="38" fontId="16" fillId="0" borderId="6" xfId="2" applyFont="1" applyFill="1" applyBorder="1" applyAlignment="1">
      <alignment vertical="center"/>
    </xf>
    <xf numFmtId="176" fontId="17" fillId="0" borderId="10" xfId="2" applyNumberFormat="1" applyFont="1" applyFill="1" applyBorder="1" applyAlignment="1">
      <alignment horizontal="right" vertical="center" textRotation="255"/>
    </xf>
    <xf numFmtId="176" fontId="17" fillId="0" borderId="1" xfId="2" applyNumberFormat="1" applyFont="1" applyFill="1" applyBorder="1" applyAlignment="1">
      <alignment horizontal="right" vertical="center" textRotation="255"/>
    </xf>
    <xf numFmtId="176" fontId="17" fillId="0" borderId="1" xfId="2" applyNumberFormat="1" applyFont="1" applyFill="1" applyBorder="1" applyAlignment="1">
      <alignment horizontal="right" vertical="center" textRotation="255" wrapText="1"/>
    </xf>
    <xf numFmtId="176" fontId="17" fillId="0" borderId="0" xfId="2" applyNumberFormat="1" applyFont="1" applyFill="1" applyBorder="1" applyAlignment="1">
      <alignment horizontal="right" vertical="center" textRotation="255"/>
    </xf>
    <xf numFmtId="176" fontId="16" fillId="0" borderId="18" xfId="2" applyNumberFormat="1" applyFont="1" applyFill="1" applyBorder="1" applyAlignment="1">
      <alignment horizontal="right" vertical="top" textRotation="255"/>
    </xf>
    <xf numFmtId="176" fontId="17" fillId="0" borderId="10" xfId="2" applyNumberFormat="1" applyFont="1" applyFill="1" applyBorder="1" applyAlignment="1">
      <alignment horizontal="center" vertical="distributed" textRotation="255"/>
    </xf>
    <xf numFmtId="176" fontId="17" fillId="0" borderId="1" xfId="2" applyNumberFormat="1" applyFont="1" applyFill="1" applyBorder="1" applyAlignment="1">
      <alignment horizontal="center" vertical="distributed" textRotation="255"/>
    </xf>
    <xf numFmtId="176" fontId="17" fillId="0" borderId="1" xfId="2" applyNumberFormat="1" applyFont="1" applyFill="1" applyBorder="1" applyAlignment="1">
      <alignment horizontal="center" vertical="distributed" textRotation="255" wrapText="1"/>
    </xf>
    <xf numFmtId="176" fontId="17" fillId="0" borderId="0" xfId="2" applyNumberFormat="1" applyFont="1" applyFill="1" applyBorder="1" applyAlignment="1">
      <alignment horizontal="center" vertical="distributed" textRotation="255"/>
    </xf>
    <xf numFmtId="176" fontId="16" fillId="0" borderId="18" xfId="2" applyNumberFormat="1" applyFont="1" applyFill="1" applyBorder="1" applyAlignment="1">
      <alignment horizontal="center" vertical="distributed"/>
    </xf>
    <xf numFmtId="176" fontId="17" fillId="0" borderId="16" xfId="2" applyNumberFormat="1" applyFont="1" applyFill="1" applyBorder="1" applyAlignment="1">
      <alignment horizontal="right"/>
    </xf>
    <xf numFmtId="176" fontId="17" fillId="0" borderId="19" xfId="2" applyNumberFormat="1" applyFont="1" applyFill="1" applyBorder="1" applyAlignment="1">
      <alignment horizontal="right"/>
    </xf>
    <xf numFmtId="0" fontId="16" fillId="0" borderId="0" xfId="2" applyNumberFormat="1" applyFont="1" applyFill="1" applyBorder="1" applyAlignment="1">
      <alignment horizontal="right" vertical="center"/>
    </xf>
    <xf numFmtId="0" fontId="11" fillId="0" borderId="0" xfId="2" applyNumberFormat="1" applyFont="1" applyFill="1" applyBorder="1" applyAlignment="1">
      <alignment vertical="center"/>
    </xf>
    <xf numFmtId="176" fontId="16" fillId="0" borderId="12" xfId="2" applyNumberFormat="1" applyFont="1" applyFill="1" applyBorder="1" applyAlignment="1">
      <alignment horizontal="right"/>
    </xf>
    <xf numFmtId="176" fontId="16" fillId="0" borderId="13" xfId="2" applyNumberFormat="1" applyFont="1" applyFill="1" applyBorder="1" applyAlignment="1">
      <alignment horizontal="right"/>
    </xf>
    <xf numFmtId="176" fontId="16" fillId="0" borderId="14" xfId="2" applyNumberFormat="1" applyFont="1" applyFill="1" applyBorder="1" applyAlignment="1">
      <alignment horizontal="right"/>
    </xf>
    <xf numFmtId="176" fontId="16" fillId="0" borderId="2" xfId="2" applyNumberFormat="1" applyFont="1" applyFill="1" applyBorder="1" applyAlignment="1">
      <alignment horizontal="right" vertical="center" textRotation="255"/>
    </xf>
    <xf numFmtId="176" fontId="16" fillId="0" borderId="3" xfId="2" applyNumberFormat="1" applyFont="1" applyFill="1" applyBorder="1" applyAlignment="1">
      <alignment horizontal="right" vertical="center" textRotation="255"/>
    </xf>
    <xf numFmtId="176" fontId="16" fillId="0" borderId="3" xfId="2" applyNumberFormat="1" applyFont="1" applyFill="1" applyBorder="1" applyAlignment="1">
      <alignment horizontal="right" vertical="center" textRotation="255" wrapText="1"/>
    </xf>
    <xf numFmtId="176" fontId="16" fillId="0" borderId="20" xfId="2" applyNumberFormat="1" applyFont="1" applyFill="1" applyBorder="1" applyAlignment="1">
      <alignment horizontal="right" vertical="center" textRotation="255"/>
    </xf>
    <xf numFmtId="176" fontId="16" fillId="0" borderId="7" xfId="2" applyNumberFormat="1" applyFont="1" applyFill="1" applyBorder="1" applyAlignment="1">
      <alignment horizontal="center" vertical="distributed" textRotation="255"/>
    </xf>
    <xf numFmtId="176" fontId="16" fillId="0" borderId="1" xfId="2" applyNumberFormat="1" applyFont="1" applyFill="1" applyBorder="1" applyAlignment="1">
      <alignment horizontal="center" vertical="distributed" textRotation="255"/>
    </xf>
    <xf numFmtId="176" fontId="16" fillId="0" borderId="1" xfId="2" applyNumberFormat="1" applyFont="1" applyFill="1" applyBorder="1" applyAlignment="1">
      <alignment horizontal="center" vertical="distributed" textRotation="255" wrapText="1"/>
    </xf>
    <xf numFmtId="176" fontId="16" fillId="0" borderId="0" xfId="2" applyNumberFormat="1" applyFont="1" applyFill="1" applyBorder="1" applyAlignment="1">
      <alignment horizontal="center" vertical="distributed" textRotation="255"/>
    </xf>
    <xf numFmtId="0" fontId="5" fillId="0" borderId="19" xfId="2" applyNumberFormat="1" applyFont="1" applyFill="1" applyBorder="1"/>
    <xf numFmtId="176" fontId="16" fillId="0" borderId="30" xfId="2" applyNumberFormat="1" applyFont="1" applyFill="1" applyBorder="1" applyAlignment="1">
      <alignment horizontal="right"/>
    </xf>
    <xf numFmtId="176" fontId="16" fillId="0" borderId="2" xfId="2" applyNumberFormat="1" applyFont="1" applyFill="1" applyBorder="1" applyAlignment="1">
      <alignment horizontal="right" vertical="center" shrinkToFit="1"/>
    </xf>
    <xf numFmtId="176" fontId="16" fillId="0" borderId="3" xfId="2" applyNumberFormat="1" applyFont="1" applyFill="1" applyBorder="1" applyAlignment="1">
      <alignment horizontal="right" vertical="center" shrinkToFit="1"/>
    </xf>
    <xf numFmtId="176" fontId="16" fillId="0" borderId="4" xfId="2" applyNumberFormat="1" applyFont="1" applyFill="1" applyBorder="1" applyAlignment="1">
      <alignment horizontal="right" vertical="center" shrinkToFit="1"/>
    </xf>
    <xf numFmtId="176" fontId="16" fillId="0" borderId="15" xfId="2" applyNumberFormat="1" applyFont="1" applyFill="1" applyBorder="1" applyAlignment="1">
      <alignment horizontal="right" vertical="center"/>
    </xf>
    <xf numFmtId="38" fontId="20" fillId="0" borderId="0" xfId="2" applyFont="1" applyFill="1" applyBorder="1" applyAlignment="1">
      <alignment shrinkToFit="1"/>
    </xf>
    <xf numFmtId="176" fontId="16" fillId="0" borderId="12" xfId="2" applyNumberFormat="1" applyFont="1" applyFill="1" applyBorder="1" applyAlignment="1">
      <alignment horizontal="right" vertical="center" shrinkToFit="1"/>
    </xf>
    <xf numFmtId="176" fontId="16" fillId="0" borderId="13" xfId="2" applyNumberFormat="1" applyFont="1" applyFill="1" applyBorder="1" applyAlignment="1">
      <alignment horizontal="right" vertical="center" shrinkToFit="1"/>
    </xf>
    <xf numFmtId="176" fontId="16" fillId="0" borderId="14" xfId="2" applyNumberFormat="1" applyFont="1" applyFill="1" applyBorder="1" applyAlignment="1">
      <alignment horizontal="right" vertical="center" shrinkToFit="1"/>
    </xf>
    <xf numFmtId="176" fontId="16" fillId="0" borderId="2" xfId="2" applyNumberFormat="1" applyFont="1" applyFill="1" applyBorder="1" applyAlignment="1">
      <alignment horizontal="right" vertical="center"/>
    </xf>
    <xf numFmtId="176" fontId="16" fillId="0" borderId="3" xfId="2" applyNumberFormat="1" applyFont="1" applyFill="1" applyBorder="1" applyAlignment="1">
      <alignment horizontal="right" vertical="center"/>
    </xf>
    <xf numFmtId="176" fontId="16" fillId="0" borderId="4" xfId="2" applyNumberFormat="1" applyFont="1" applyFill="1" applyBorder="1" applyAlignment="1">
      <alignment horizontal="right" vertical="center"/>
    </xf>
    <xf numFmtId="0" fontId="5" fillId="0" borderId="6" xfId="2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vertical="center"/>
    </xf>
    <xf numFmtId="176" fontId="16" fillId="0" borderId="7" xfId="2" applyNumberFormat="1" applyFont="1" applyFill="1" applyBorder="1" applyAlignment="1">
      <alignment horizontal="right" vertical="center" textRotation="255"/>
    </xf>
    <xf numFmtId="176" fontId="16" fillId="0" borderId="1" xfId="2" applyNumberFormat="1" applyFont="1" applyFill="1" applyBorder="1" applyAlignment="1">
      <alignment horizontal="right" vertical="center" textRotation="255"/>
    </xf>
    <xf numFmtId="176" fontId="16" fillId="0" borderId="1" xfId="2" applyNumberFormat="1" applyFont="1" applyFill="1" applyBorder="1" applyAlignment="1">
      <alignment horizontal="right" vertical="center" textRotation="255" wrapText="1"/>
    </xf>
    <xf numFmtId="176" fontId="16" fillId="0" borderId="0" xfId="2" applyNumberFormat="1" applyFont="1" applyFill="1" applyBorder="1" applyAlignment="1">
      <alignment horizontal="right" vertical="center" textRotation="255"/>
    </xf>
    <xf numFmtId="176" fontId="16" fillId="0" borderId="19" xfId="2" applyNumberFormat="1" applyFont="1" applyFill="1" applyBorder="1" applyAlignment="1">
      <alignment horizontal="right"/>
    </xf>
    <xf numFmtId="0" fontId="15" fillId="0" borderId="0" xfId="4" applyFont="1" applyFill="1"/>
    <xf numFmtId="176" fontId="15" fillId="0" borderId="0" xfId="4" applyNumberFormat="1" applyFont="1" applyFill="1"/>
    <xf numFmtId="0" fontId="5" fillId="0" borderId="0" xfId="4" applyFont="1" applyFill="1"/>
    <xf numFmtId="0" fontId="15" fillId="0" borderId="11" xfId="4" applyFont="1" applyFill="1" applyBorder="1" applyAlignment="1">
      <alignment horizontal="center" vertical="center"/>
    </xf>
    <xf numFmtId="0" fontId="15" fillId="0" borderId="18" xfId="4" applyFont="1" applyFill="1" applyBorder="1" applyAlignment="1">
      <alignment horizontal="center" vertical="center"/>
    </xf>
    <xf numFmtId="176" fontId="5" fillId="0" borderId="0" xfId="4" applyNumberFormat="1" applyFont="1" applyFill="1"/>
    <xf numFmtId="0" fontId="5" fillId="0" borderId="0" xfId="4" applyFont="1" applyFill="1" applyAlignment="1"/>
    <xf numFmtId="0" fontId="4" fillId="0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5" fillId="0" borderId="0" xfId="4" applyFont="1" applyFill="1" applyBorder="1"/>
    <xf numFmtId="38" fontId="5" fillId="0" borderId="0" xfId="4" applyNumberFormat="1" applyFont="1" applyFill="1"/>
    <xf numFmtId="176" fontId="5" fillId="0" borderId="47" xfId="2" applyNumberFormat="1" applyFont="1" applyFill="1" applyBorder="1" applyAlignment="1" applyProtection="1">
      <alignment horizontal="right" vertical="center"/>
      <protection locked="0"/>
    </xf>
    <xf numFmtId="176" fontId="5" fillId="0" borderId="48" xfId="2" applyNumberFormat="1" applyFont="1" applyFill="1" applyBorder="1" applyAlignment="1" applyProtection="1">
      <alignment horizontal="right" vertical="center"/>
      <protection locked="0"/>
    </xf>
    <xf numFmtId="176" fontId="5" fillId="0" borderId="42" xfId="2" applyNumberFormat="1" applyFont="1" applyFill="1" applyBorder="1" applyAlignment="1" applyProtection="1">
      <alignment horizontal="right" vertical="center"/>
      <protection locked="0"/>
    </xf>
    <xf numFmtId="176" fontId="5" fillId="0" borderId="47" xfId="2" applyNumberFormat="1" applyFont="1" applyFill="1" applyBorder="1" applyAlignment="1">
      <alignment horizontal="right" vertical="center"/>
    </xf>
    <xf numFmtId="176" fontId="5" fillId="0" borderId="49" xfId="2" applyNumberFormat="1" applyFont="1" applyFill="1" applyBorder="1" applyAlignment="1">
      <alignment horizontal="right" vertical="center"/>
    </xf>
    <xf numFmtId="0" fontId="5" fillId="0" borderId="5" xfId="4" applyFont="1" applyFill="1" applyBorder="1" applyAlignment="1">
      <alignment horizontal="center" vertical="center"/>
    </xf>
    <xf numFmtId="176" fontId="5" fillId="0" borderId="50" xfId="2" applyNumberFormat="1" applyFont="1" applyFill="1" applyBorder="1" applyAlignment="1" applyProtection="1">
      <alignment horizontal="right" vertical="center"/>
      <protection locked="0"/>
    </xf>
    <xf numFmtId="176" fontId="5" fillId="0" borderId="51" xfId="2" applyNumberFormat="1" applyFont="1" applyFill="1" applyBorder="1" applyAlignment="1" applyProtection="1">
      <alignment horizontal="right" vertical="center"/>
      <protection locked="0"/>
    </xf>
    <xf numFmtId="176" fontId="5" fillId="0" borderId="44" xfId="2" applyNumberFormat="1" applyFont="1" applyFill="1" applyBorder="1" applyAlignment="1" applyProtection="1">
      <alignment horizontal="right" vertical="center"/>
      <protection locked="0"/>
    </xf>
    <xf numFmtId="176" fontId="5" fillId="0" borderId="50" xfId="2" applyNumberFormat="1" applyFont="1" applyFill="1" applyBorder="1" applyAlignment="1">
      <alignment horizontal="right" vertical="center"/>
    </xf>
    <xf numFmtId="176" fontId="5" fillId="0" borderId="52" xfId="2" applyNumberFormat="1" applyFont="1" applyFill="1" applyBorder="1" applyAlignment="1">
      <alignment horizontal="right" vertical="center"/>
    </xf>
    <xf numFmtId="0" fontId="5" fillId="0" borderId="9" xfId="4" applyFont="1" applyFill="1" applyBorder="1" applyAlignment="1">
      <alignment horizontal="center" vertical="center"/>
    </xf>
    <xf numFmtId="176" fontId="5" fillId="0" borderId="48" xfId="2" applyNumberFormat="1" applyFont="1" applyFill="1" applyBorder="1" applyAlignment="1">
      <alignment horizontal="right" vertical="center"/>
    </xf>
    <xf numFmtId="176" fontId="5" fillId="0" borderId="42" xfId="2" applyNumberFormat="1" applyFont="1" applyFill="1" applyBorder="1" applyAlignment="1">
      <alignment horizontal="right" vertical="center"/>
    </xf>
    <xf numFmtId="0" fontId="5" fillId="0" borderId="53" xfId="4" applyFont="1" applyFill="1" applyBorder="1" applyAlignment="1">
      <alignment horizontal="right" vertical="center"/>
    </xf>
    <xf numFmtId="0" fontId="5" fillId="0" borderId="54" xfId="4" applyFont="1" applyFill="1" applyBorder="1" applyAlignment="1">
      <alignment horizontal="right" vertical="center"/>
    </xf>
    <xf numFmtId="0" fontId="5" fillId="0" borderId="45" xfId="4" applyFont="1" applyFill="1" applyBorder="1" applyAlignment="1">
      <alignment horizontal="right" vertical="center"/>
    </xf>
    <xf numFmtId="0" fontId="5" fillId="0" borderId="46" xfId="4" applyFont="1" applyFill="1" applyBorder="1" applyAlignment="1">
      <alignment horizontal="right" vertical="center"/>
    </xf>
    <xf numFmtId="0" fontId="5" fillId="0" borderId="55" xfId="4" applyFont="1" applyFill="1" applyBorder="1" applyAlignment="1">
      <alignment horizontal="right" vertical="center"/>
    </xf>
    <xf numFmtId="0" fontId="17" fillId="0" borderId="0" xfId="4" applyFont="1" applyFill="1"/>
    <xf numFmtId="0" fontId="26" fillId="0" borderId="0" xfId="4" applyFont="1" applyFill="1" applyAlignment="1">
      <alignment vertical="center"/>
    </xf>
    <xf numFmtId="0" fontId="15" fillId="0" borderId="0" xfId="2" applyNumberFormat="1" applyFont="1" applyFill="1" applyBorder="1"/>
    <xf numFmtId="176" fontId="8" fillId="0" borderId="0" xfId="2" applyNumberFormat="1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center" vertical="center" wrapText="1"/>
    </xf>
    <xf numFmtId="176" fontId="5" fillId="0" borderId="43" xfId="2" applyNumberFormat="1" applyFont="1" applyFill="1" applyBorder="1" applyAlignment="1" applyProtection="1">
      <alignment horizontal="right" vertical="center"/>
      <protection locked="0"/>
    </xf>
    <xf numFmtId="176" fontId="5" fillId="0" borderId="52" xfId="2" applyNumberFormat="1" applyFont="1" applyFill="1" applyBorder="1" applyAlignment="1" applyProtection="1">
      <alignment horizontal="right" vertical="center"/>
      <protection locked="0"/>
    </xf>
    <xf numFmtId="38" fontId="5" fillId="0" borderId="18" xfId="2" applyFont="1" applyFill="1" applyBorder="1" applyAlignment="1">
      <alignment horizontal="center" vertical="center" wrapText="1"/>
    </xf>
    <xf numFmtId="38" fontId="5" fillId="0" borderId="18" xfId="2" applyFont="1" applyFill="1" applyBorder="1" applyAlignment="1">
      <alignment horizontal="center" vertical="center"/>
    </xf>
    <xf numFmtId="38" fontId="5" fillId="0" borderId="53" xfId="2" applyFont="1" applyFill="1" applyBorder="1" applyAlignment="1">
      <alignment horizontal="right" vertical="center"/>
    </xf>
    <xf numFmtId="0" fontId="5" fillId="0" borderId="54" xfId="5" applyFont="1" applyFill="1" applyBorder="1" applyAlignment="1">
      <alignment horizontal="right" vertical="center"/>
    </xf>
    <xf numFmtId="38" fontId="5" fillId="0" borderId="54" xfId="2" applyFont="1" applyFill="1" applyBorder="1" applyAlignment="1">
      <alignment horizontal="right" vertical="center"/>
    </xf>
    <xf numFmtId="0" fontId="5" fillId="0" borderId="46" xfId="5" applyFont="1" applyFill="1" applyBorder="1" applyAlignment="1">
      <alignment horizontal="right" vertical="center"/>
    </xf>
    <xf numFmtId="0" fontId="5" fillId="0" borderId="53" xfId="5" applyFont="1" applyFill="1" applyBorder="1" applyAlignment="1">
      <alignment horizontal="right" vertical="center"/>
    </xf>
    <xf numFmtId="0" fontId="5" fillId="0" borderId="55" xfId="5" applyFont="1" applyFill="1" applyBorder="1" applyAlignment="1">
      <alignment horizontal="right" vertical="center"/>
    </xf>
    <xf numFmtId="0" fontId="5" fillId="0" borderId="0" xfId="5" applyFont="1" applyFill="1"/>
    <xf numFmtId="0" fontId="28" fillId="0" borderId="0" xfId="5" applyFont="1" applyFill="1" applyAlignment="1">
      <alignment vertical="center"/>
    </xf>
    <xf numFmtId="0" fontId="14" fillId="0" borderId="0" xfId="4" applyFont="1" applyAlignment="1">
      <alignment horizontal="center" vertical="center"/>
    </xf>
    <xf numFmtId="0" fontId="0" fillId="0" borderId="0" xfId="3" applyNumberFormat="1" applyFont="1" applyFill="1" applyBorder="1" applyAlignment="1">
      <alignment vertical="center" wrapText="1"/>
    </xf>
    <xf numFmtId="0" fontId="3" fillId="0" borderId="0" xfId="3" applyNumberFormat="1" applyFont="1" applyFill="1" applyBorder="1" applyAlignment="1">
      <alignment vertical="center"/>
    </xf>
    <xf numFmtId="0" fontId="6" fillId="0" borderId="32" xfId="3" applyNumberFormat="1" applyFont="1" applyFill="1" applyBorder="1" applyAlignment="1">
      <alignment horizontal="left" vertical="center" wrapText="1"/>
    </xf>
    <xf numFmtId="0" fontId="6" fillId="0" borderId="33" xfId="3" applyNumberFormat="1" applyFont="1" applyFill="1" applyBorder="1" applyAlignment="1">
      <alignment horizontal="left" vertical="center"/>
    </xf>
    <xf numFmtId="0" fontId="6" fillId="0" borderId="34" xfId="3" applyNumberFormat="1" applyFont="1" applyFill="1" applyBorder="1" applyAlignment="1">
      <alignment horizontal="left" vertical="center"/>
    </xf>
    <xf numFmtId="0" fontId="6" fillId="0" borderId="35" xfId="3" applyNumberFormat="1" applyFont="1" applyFill="1" applyBorder="1" applyAlignment="1">
      <alignment horizontal="left" vertical="center"/>
    </xf>
    <xf numFmtId="0" fontId="6" fillId="0" borderId="36" xfId="3" applyNumberFormat="1" applyFont="1" applyFill="1" applyBorder="1" applyAlignment="1">
      <alignment horizontal="left" vertical="center"/>
    </xf>
    <xf numFmtId="0" fontId="6" fillId="0" borderId="37" xfId="3" applyNumberFormat="1" applyFont="1" applyFill="1" applyBorder="1" applyAlignment="1">
      <alignment horizontal="left" vertical="center"/>
    </xf>
    <xf numFmtId="0" fontId="6" fillId="0" borderId="38" xfId="3" applyNumberFormat="1" applyFont="1" applyFill="1" applyBorder="1" applyAlignment="1">
      <alignment horizontal="left" vertical="center"/>
    </xf>
    <xf numFmtId="0" fontId="6" fillId="0" borderId="39" xfId="3" applyNumberFormat="1" applyFont="1" applyFill="1" applyBorder="1" applyAlignment="1">
      <alignment horizontal="left" vertical="center"/>
    </xf>
    <xf numFmtId="0" fontId="6" fillId="0" borderId="40" xfId="3" applyNumberFormat="1" applyFont="1" applyFill="1" applyBorder="1" applyAlignment="1">
      <alignment horizontal="left" vertical="center"/>
    </xf>
    <xf numFmtId="0" fontId="2" fillId="0" borderId="19" xfId="3" applyNumberFormat="1" applyFont="1" applyFill="1" applyBorder="1" applyAlignment="1">
      <alignment vertical="center" wrapText="1"/>
    </xf>
    <xf numFmtId="0" fontId="2" fillId="0" borderId="19" xfId="3" applyNumberFormat="1" applyFont="1" applyFill="1" applyBorder="1" applyAlignment="1">
      <alignment vertical="center"/>
    </xf>
    <xf numFmtId="0" fontId="2" fillId="0" borderId="20" xfId="3" applyNumberFormat="1" applyFont="1" applyFill="1" applyBorder="1" applyAlignment="1">
      <alignment horizontal="center" vertical="center"/>
    </xf>
    <xf numFmtId="0" fontId="8" fillId="0" borderId="19" xfId="3" applyNumberFormat="1" applyFont="1" applyFill="1" applyBorder="1" applyAlignment="1">
      <alignment horizontal="distributed" vertical="center"/>
    </xf>
    <xf numFmtId="0" fontId="12" fillId="0" borderId="19" xfId="4" applyFont="1" applyFill="1" applyBorder="1" applyAlignment="1">
      <alignment horizontal="distributed"/>
    </xf>
    <xf numFmtId="0" fontId="8" fillId="0" borderId="0" xfId="3" applyNumberFormat="1" applyFont="1" applyFill="1" applyBorder="1" applyAlignment="1">
      <alignment horizontal="distributed" vertical="center"/>
    </xf>
    <xf numFmtId="0" fontId="12" fillId="0" borderId="0" xfId="4" applyFont="1" applyFill="1" applyBorder="1" applyAlignment="1">
      <alignment horizontal="distributed"/>
    </xf>
    <xf numFmtId="0" fontId="23" fillId="0" borderId="0" xfId="3" applyNumberFormat="1" applyFont="1" applyFill="1" applyBorder="1" applyAlignment="1">
      <alignment horizontal="distributed" vertical="center"/>
    </xf>
    <xf numFmtId="0" fontId="24" fillId="0" borderId="0" xfId="4" applyFont="1" applyFill="1" applyBorder="1" applyAlignment="1">
      <alignment horizontal="distributed"/>
    </xf>
    <xf numFmtId="0" fontId="23" fillId="0" borderId="0" xfId="3" applyNumberFormat="1" applyFont="1" applyFill="1" applyBorder="1" applyAlignment="1">
      <alignment horizontal="left" vertical="center"/>
    </xf>
    <xf numFmtId="0" fontId="24" fillId="0" borderId="0" xfId="4" applyFont="1" applyFill="1" applyBorder="1" applyAlignment="1">
      <alignment horizontal="left"/>
    </xf>
    <xf numFmtId="0" fontId="23" fillId="0" borderId="20" xfId="3" applyNumberFormat="1" applyFont="1" applyFill="1" applyBorder="1" applyAlignment="1">
      <alignment horizontal="left" vertical="center"/>
    </xf>
    <xf numFmtId="0" fontId="5" fillId="0" borderId="19" xfId="3" applyNumberFormat="1" applyFont="1" applyFill="1" applyBorder="1" applyAlignment="1">
      <alignment wrapText="1"/>
    </xf>
    <xf numFmtId="0" fontId="5" fillId="0" borderId="19" xfId="3" applyNumberFormat="1" applyFont="1" applyFill="1" applyBorder="1" applyAlignment="1"/>
    <xf numFmtId="0" fontId="8" fillId="0" borderId="0" xfId="3" applyNumberFormat="1" applyFont="1" applyFill="1" applyBorder="1" applyAlignment="1">
      <alignment horizontal="center" vertical="center"/>
    </xf>
    <xf numFmtId="0" fontId="12" fillId="0" borderId="0" xfId="4" applyFont="1" applyFill="1" applyBorder="1" applyAlignment="1">
      <alignment horizontal="center"/>
    </xf>
    <xf numFmtId="0" fontId="3" fillId="0" borderId="20" xfId="3" applyNumberFormat="1" applyFont="1" applyFill="1" applyBorder="1" applyAlignment="1">
      <alignment horizontal="left" vertical="center" wrapText="1"/>
    </xf>
    <xf numFmtId="0" fontId="6" fillId="0" borderId="33" xfId="3" applyNumberFormat="1" applyFont="1" applyFill="1" applyBorder="1" applyAlignment="1">
      <alignment horizontal="left" vertical="center" wrapText="1"/>
    </xf>
    <xf numFmtId="0" fontId="6" fillId="0" borderId="34" xfId="3" applyNumberFormat="1" applyFont="1" applyFill="1" applyBorder="1" applyAlignment="1">
      <alignment horizontal="left" vertical="center" wrapText="1"/>
    </xf>
    <xf numFmtId="0" fontId="6" fillId="0" borderId="35" xfId="3" applyNumberFormat="1" applyFont="1" applyFill="1" applyBorder="1" applyAlignment="1">
      <alignment horizontal="left" vertical="center" wrapText="1"/>
    </xf>
    <xf numFmtId="0" fontId="6" fillId="0" borderId="36" xfId="3" applyNumberFormat="1" applyFont="1" applyFill="1" applyBorder="1" applyAlignment="1">
      <alignment horizontal="left" vertical="center" wrapText="1"/>
    </xf>
    <xf numFmtId="0" fontId="6" fillId="0" borderId="37" xfId="3" applyNumberFormat="1" applyFont="1" applyFill="1" applyBorder="1" applyAlignment="1">
      <alignment horizontal="left" vertical="center" wrapText="1"/>
    </xf>
    <xf numFmtId="0" fontId="6" fillId="0" borderId="38" xfId="3" applyNumberFormat="1" applyFont="1" applyFill="1" applyBorder="1" applyAlignment="1">
      <alignment horizontal="left" vertical="center" wrapText="1"/>
    </xf>
    <xf numFmtId="0" fontId="6" fillId="0" borderId="39" xfId="3" applyNumberFormat="1" applyFont="1" applyFill="1" applyBorder="1" applyAlignment="1">
      <alignment horizontal="left" vertical="center" wrapText="1"/>
    </xf>
    <xf numFmtId="0" fontId="6" fillId="0" borderId="40" xfId="3" applyNumberFormat="1" applyFont="1" applyFill="1" applyBorder="1" applyAlignment="1">
      <alignment horizontal="left" vertical="center" wrapText="1"/>
    </xf>
    <xf numFmtId="0" fontId="24" fillId="0" borderId="20" xfId="4" applyFont="1" applyFill="1" applyBorder="1" applyAlignment="1">
      <alignment horizontal="left"/>
    </xf>
    <xf numFmtId="0" fontId="10" fillId="0" borderId="19" xfId="3" applyNumberFormat="1" applyFont="1" applyFill="1" applyBorder="1" applyAlignment="1">
      <alignment horizontal="distributed" vertical="center"/>
    </xf>
    <xf numFmtId="0" fontId="4" fillId="0" borderId="19" xfId="4" applyFont="1" applyFill="1" applyBorder="1" applyAlignment="1">
      <alignment horizontal="distributed"/>
    </xf>
    <xf numFmtId="0" fontId="10" fillId="0" borderId="0" xfId="3" applyNumberFormat="1" applyFont="1" applyFill="1" applyBorder="1" applyAlignment="1">
      <alignment horizontal="distributed" vertical="center"/>
    </xf>
    <xf numFmtId="0" fontId="10" fillId="0" borderId="0" xfId="3" applyNumberFormat="1" applyFont="1" applyFill="1" applyBorder="1" applyAlignment="1">
      <alignment horizontal="center" vertical="center"/>
    </xf>
    <xf numFmtId="0" fontId="10" fillId="0" borderId="20" xfId="3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right" vertical="center" indent="2"/>
    </xf>
    <xf numFmtId="0" fontId="5" fillId="0" borderId="20" xfId="2" applyNumberFormat="1" applyFont="1" applyFill="1" applyBorder="1" applyAlignment="1">
      <alignment horizontal="right" vertical="center" indent="2"/>
    </xf>
    <xf numFmtId="0" fontId="5" fillId="0" borderId="19" xfId="2" applyNumberFormat="1" applyFont="1" applyFill="1" applyBorder="1" applyAlignment="1">
      <alignment wrapText="1"/>
    </xf>
    <xf numFmtId="0" fontId="18" fillId="0" borderId="32" xfId="4" applyFont="1" applyFill="1" applyBorder="1" applyAlignment="1">
      <alignment horizontal="left" vertical="center" wrapText="1"/>
    </xf>
    <xf numFmtId="0" fontId="18" fillId="0" borderId="33" xfId="4" applyFont="1" applyFill="1" applyBorder="1" applyAlignment="1">
      <alignment horizontal="left" vertical="center"/>
    </xf>
    <xf numFmtId="0" fontId="18" fillId="0" borderId="34" xfId="4" applyFont="1" applyFill="1" applyBorder="1" applyAlignment="1">
      <alignment horizontal="left" vertical="center"/>
    </xf>
    <xf numFmtId="0" fontId="18" fillId="0" borderId="38" xfId="4" applyFont="1" applyFill="1" applyBorder="1" applyAlignment="1">
      <alignment horizontal="left" vertical="center"/>
    </xf>
    <xf numFmtId="0" fontId="18" fillId="0" borderId="39" xfId="4" applyFont="1" applyFill="1" applyBorder="1" applyAlignment="1">
      <alignment horizontal="left" vertical="center"/>
    </xf>
    <xf numFmtId="0" fontId="18" fillId="0" borderId="40" xfId="4" applyFont="1" applyFill="1" applyBorder="1" applyAlignment="1">
      <alignment horizontal="left" vertical="center"/>
    </xf>
    <xf numFmtId="0" fontId="13" fillId="0" borderId="0" xfId="2" applyNumberFormat="1" applyFont="1" applyFill="1" applyBorder="1" applyAlignment="1">
      <alignment vertical="center" shrinkToFit="1"/>
    </xf>
    <xf numFmtId="0" fontId="6" fillId="0" borderId="32" xfId="2" applyNumberFormat="1" applyFont="1" applyFill="1" applyBorder="1" applyAlignment="1">
      <alignment horizontal="left" vertical="center" wrapText="1"/>
    </xf>
    <xf numFmtId="0" fontId="6" fillId="0" borderId="33" xfId="2" applyNumberFormat="1" applyFont="1" applyFill="1" applyBorder="1" applyAlignment="1">
      <alignment horizontal="left" vertical="center"/>
    </xf>
    <xf numFmtId="0" fontId="6" fillId="0" borderId="34" xfId="2" applyNumberFormat="1" applyFont="1" applyFill="1" applyBorder="1" applyAlignment="1">
      <alignment horizontal="left" vertical="center"/>
    </xf>
    <xf numFmtId="0" fontId="6" fillId="0" borderId="35" xfId="2" applyNumberFormat="1" applyFont="1" applyFill="1" applyBorder="1" applyAlignment="1">
      <alignment horizontal="left" vertical="center"/>
    </xf>
    <xf numFmtId="0" fontId="6" fillId="0" borderId="36" xfId="2" applyNumberFormat="1" applyFont="1" applyFill="1" applyBorder="1" applyAlignment="1">
      <alignment horizontal="left" vertical="center"/>
    </xf>
    <xf numFmtId="0" fontId="6" fillId="0" borderId="37" xfId="2" applyNumberFormat="1" applyFont="1" applyFill="1" applyBorder="1" applyAlignment="1">
      <alignment horizontal="left" vertical="center"/>
    </xf>
    <xf numFmtId="0" fontId="6" fillId="0" borderId="38" xfId="2" applyNumberFormat="1" applyFont="1" applyFill="1" applyBorder="1" applyAlignment="1">
      <alignment horizontal="left" vertical="center"/>
    </xf>
    <xf numFmtId="0" fontId="6" fillId="0" borderId="39" xfId="2" applyNumberFormat="1" applyFont="1" applyFill="1" applyBorder="1" applyAlignment="1">
      <alignment horizontal="left" vertical="center"/>
    </xf>
    <xf numFmtId="0" fontId="6" fillId="0" borderId="40" xfId="2" applyNumberFormat="1" applyFont="1" applyFill="1" applyBorder="1" applyAlignment="1">
      <alignment horizontal="left" vertical="center"/>
    </xf>
    <xf numFmtId="0" fontId="6" fillId="0" borderId="19" xfId="2" applyNumberFormat="1" applyFont="1" applyFill="1" applyBorder="1" applyAlignment="1">
      <alignment vertical="center" shrinkToFit="1"/>
    </xf>
    <xf numFmtId="0" fontId="5" fillId="0" borderId="0" xfId="2" applyNumberFormat="1" applyFont="1" applyFill="1" applyBorder="1" applyAlignment="1">
      <alignment horizontal="distributed" vertical="center"/>
    </xf>
    <xf numFmtId="0" fontId="5" fillId="0" borderId="20" xfId="2" applyNumberFormat="1" applyFont="1" applyFill="1" applyBorder="1" applyAlignment="1">
      <alignment horizontal="left" vertical="center"/>
    </xf>
    <xf numFmtId="0" fontId="5" fillId="0" borderId="19" xfId="2" applyNumberFormat="1" applyFont="1" applyFill="1" applyBorder="1" applyAlignment="1">
      <alignment horizontal="center" vertical="center" shrinkToFit="1"/>
    </xf>
    <xf numFmtId="0" fontId="5" fillId="0" borderId="0" xfId="2" applyNumberFormat="1" applyFont="1" applyFill="1" applyBorder="1" applyAlignment="1">
      <alignment horizontal="center" vertical="center"/>
    </xf>
    <xf numFmtId="0" fontId="5" fillId="0" borderId="20" xfId="2" applyNumberFormat="1" applyFont="1" applyFill="1" applyBorder="1" applyAlignment="1">
      <alignment horizontal="distributed" vertical="center"/>
    </xf>
    <xf numFmtId="0" fontId="5" fillId="0" borderId="20" xfId="2" applyNumberFormat="1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distributed" vertical="center" indent="1"/>
    </xf>
    <xf numFmtId="0" fontId="5" fillId="0" borderId="0" xfId="2" applyNumberFormat="1" applyFont="1" applyFill="1" applyBorder="1" applyAlignment="1">
      <alignment horizontal="left" vertical="center"/>
    </xf>
    <xf numFmtId="0" fontId="21" fillId="0" borderId="19" xfId="2" applyNumberFormat="1" applyFont="1" applyFill="1" applyBorder="1" applyAlignment="1">
      <alignment vertical="center" shrinkToFit="1"/>
    </xf>
    <xf numFmtId="0" fontId="5" fillId="0" borderId="19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 applyProtection="1">
      <alignment horizontal="right" vertical="center"/>
      <protection locked="0"/>
    </xf>
    <xf numFmtId="0" fontId="9" fillId="0" borderId="0" xfId="4" applyFont="1" applyFill="1" applyBorder="1" applyAlignment="1"/>
    <xf numFmtId="176" fontId="5" fillId="0" borderId="9" xfId="2" applyNumberFormat="1" applyFont="1" applyFill="1" applyBorder="1" applyAlignment="1" applyProtection="1">
      <alignment horizontal="right" vertical="center"/>
      <protection locked="0"/>
    </xf>
    <xf numFmtId="176" fontId="5" fillId="0" borderId="44" xfId="2" applyNumberFormat="1" applyFont="1" applyFill="1" applyBorder="1" applyAlignment="1" applyProtection="1">
      <alignment horizontal="right" vertical="center"/>
      <protection locked="0"/>
    </xf>
    <xf numFmtId="176" fontId="5" fillId="0" borderId="43" xfId="2" applyNumberFormat="1" applyFont="1" applyFill="1" applyBorder="1" applyAlignment="1" applyProtection="1">
      <alignment horizontal="right" vertical="center"/>
      <protection locked="0"/>
    </xf>
    <xf numFmtId="176" fontId="5" fillId="0" borderId="10" xfId="2" applyNumberFormat="1" applyFont="1" applyFill="1" applyBorder="1" applyAlignment="1" applyProtection="1">
      <alignment horizontal="right" vertical="center"/>
      <protection locked="0"/>
    </xf>
    <xf numFmtId="176" fontId="5" fillId="0" borderId="5" xfId="2" applyNumberFormat="1" applyFont="1" applyFill="1" applyBorder="1" applyAlignment="1" applyProtection="1">
      <alignment horizontal="right" vertical="center"/>
      <protection locked="0"/>
    </xf>
    <xf numFmtId="176" fontId="5" fillId="0" borderId="42" xfId="2" applyNumberFormat="1" applyFont="1" applyFill="1" applyBorder="1" applyAlignment="1" applyProtection="1">
      <alignment horizontal="right" vertical="center"/>
      <protection locked="0"/>
    </xf>
    <xf numFmtId="176" fontId="5" fillId="0" borderId="41" xfId="2" applyNumberFormat="1" applyFont="1" applyFill="1" applyBorder="1" applyAlignment="1" applyProtection="1">
      <alignment horizontal="right" vertical="center"/>
      <protection locked="0"/>
    </xf>
    <xf numFmtId="176" fontId="5" fillId="0" borderId="6" xfId="2" applyNumberFormat="1" applyFont="1" applyFill="1" applyBorder="1" applyAlignment="1" applyProtection="1">
      <alignment horizontal="right" vertical="center"/>
      <protection locked="0"/>
    </xf>
    <xf numFmtId="0" fontId="5" fillId="0" borderId="0" xfId="4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176" fontId="5" fillId="0" borderId="42" xfId="2" applyNumberFormat="1" applyFont="1" applyFill="1" applyBorder="1" applyAlignment="1">
      <alignment horizontal="right" vertical="center"/>
    </xf>
    <xf numFmtId="176" fontId="5" fillId="0" borderId="41" xfId="2" applyNumberFormat="1" applyFont="1" applyFill="1" applyBorder="1" applyAlignment="1">
      <alignment horizontal="right" vertical="center"/>
    </xf>
    <xf numFmtId="0" fontId="9" fillId="0" borderId="6" xfId="4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right" vertical="center"/>
    </xf>
    <xf numFmtId="0" fontId="5" fillId="0" borderId="45" xfId="4" applyFont="1" applyFill="1" applyBorder="1" applyAlignment="1">
      <alignment horizontal="right" vertical="center"/>
    </xf>
    <xf numFmtId="0" fontId="9" fillId="0" borderId="16" xfId="4" applyFont="1" applyFill="1" applyBorder="1" applyAlignment="1">
      <alignment horizontal="right" vertical="center"/>
    </xf>
    <xf numFmtId="0" fontId="15" fillId="0" borderId="15" xfId="4" applyFont="1" applyFill="1" applyBorder="1" applyAlignment="1">
      <alignment horizontal="center" vertical="center"/>
    </xf>
    <xf numFmtId="0" fontId="15" fillId="0" borderId="11" xfId="4" applyFont="1" applyFill="1" applyBorder="1" applyAlignment="1">
      <alignment horizontal="center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46" xfId="4" applyFont="1" applyFill="1" applyBorder="1" applyAlignment="1">
      <alignment horizontal="right" vertical="center"/>
    </xf>
    <xf numFmtId="0" fontId="15" fillId="0" borderId="17" xfId="4" applyFont="1" applyFill="1" applyBorder="1" applyAlignment="1">
      <alignment horizontal="center" vertical="center"/>
    </xf>
    <xf numFmtId="0" fontId="15" fillId="0" borderId="5" xfId="4" applyFont="1" applyFill="1" applyBorder="1" applyAlignment="1">
      <alignment horizontal="center" vertical="center"/>
    </xf>
    <xf numFmtId="0" fontId="15" fillId="0" borderId="18" xfId="4" applyFont="1" applyFill="1" applyBorder="1" applyAlignment="1">
      <alignment horizontal="center" vertical="center"/>
    </xf>
    <xf numFmtId="0" fontId="5" fillId="0" borderId="29" xfId="4" applyFont="1" applyFill="1" applyBorder="1" applyAlignment="1">
      <alignment horizontal="center" vertical="center"/>
    </xf>
    <xf numFmtId="0" fontId="5" fillId="0" borderId="26" xfId="4" applyFont="1" applyFill="1" applyBorder="1" applyAlignment="1">
      <alignment horizontal="center" vertical="center"/>
    </xf>
    <xf numFmtId="0" fontId="5" fillId="0" borderId="25" xfId="4" applyFont="1" applyFill="1" applyBorder="1" applyAlignment="1">
      <alignment horizontal="center" vertical="center"/>
    </xf>
    <xf numFmtId="0" fontId="5" fillId="0" borderId="9" xfId="4" applyFont="1" applyFill="1" applyBorder="1" applyAlignment="1">
      <alignment horizontal="center" vertical="center"/>
    </xf>
    <xf numFmtId="0" fontId="5" fillId="0" borderId="44" xfId="4" applyFont="1" applyFill="1" applyBorder="1" applyAlignment="1">
      <alignment horizontal="center" vertical="center"/>
    </xf>
    <xf numFmtId="0" fontId="5" fillId="0" borderId="43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15" fillId="0" borderId="60" xfId="4" applyFont="1" applyFill="1" applyBorder="1" applyAlignment="1">
      <alignment horizontal="center" vertical="center"/>
    </xf>
    <xf numFmtId="0" fontId="15" fillId="0" borderId="59" xfId="4" applyFont="1" applyFill="1" applyBorder="1" applyAlignment="1">
      <alignment horizontal="center" vertical="center"/>
    </xf>
    <xf numFmtId="0" fontId="15" fillId="0" borderId="57" xfId="4" applyFont="1" applyFill="1" applyBorder="1" applyAlignment="1">
      <alignment horizontal="center" vertical="center"/>
    </xf>
    <xf numFmtId="0" fontId="15" fillId="0" borderId="56" xfId="4" applyFont="1" applyFill="1" applyBorder="1" applyAlignment="1">
      <alignment horizontal="center" vertical="center"/>
    </xf>
    <xf numFmtId="0" fontId="15" fillId="0" borderId="58" xfId="4" applyFont="1" applyFill="1" applyBorder="1" applyAlignment="1">
      <alignment horizontal="center" vertical="center"/>
    </xf>
    <xf numFmtId="0" fontId="27" fillId="0" borderId="0" xfId="2" applyNumberFormat="1" applyFont="1" applyFill="1" applyBorder="1" applyAlignment="1">
      <alignment vertical="center"/>
    </xf>
    <xf numFmtId="0" fontId="15" fillId="0" borderId="9" xfId="4" applyFont="1" applyFill="1" applyBorder="1" applyAlignment="1">
      <alignment horizontal="center" vertical="center"/>
    </xf>
    <xf numFmtId="0" fontId="15" fillId="0" borderId="16" xfId="4" applyFont="1" applyFill="1" applyBorder="1" applyAlignment="1">
      <alignment horizontal="center" vertical="center"/>
    </xf>
    <xf numFmtId="0" fontId="15" fillId="0" borderId="10" xfId="4" applyFont="1" applyFill="1" applyBorder="1" applyAlignment="1">
      <alignment horizontal="center" vertical="center"/>
    </xf>
    <xf numFmtId="0" fontId="15" fillId="0" borderId="61" xfId="4" applyFont="1" applyFill="1" applyBorder="1" applyAlignment="1">
      <alignment horizontal="center" vertical="center"/>
    </xf>
    <xf numFmtId="0" fontId="5" fillId="0" borderId="62" xfId="5" applyFont="1" applyFill="1" applyBorder="1" applyAlignment="1">
      <alignment horizontal="center" vertical="center"/>
    </xf>
    <xf numFmtId="0" fontId="5" fillId="0" borderId="15" xfId="5" applyFont="1" applyFill="1" applyBorder="1" applyAlignment="1">
      <alignment horizontal="center" vertical="center"/>
    </xf>
    <xf numFmtId="0" fontId="5" fillId="0" borderId="30" xfId="5" applyFont="1" applyFill="1" applyBorder="1" applyAlignment="1">
      <alignment horizontal="center" vertical="center"/>
    </xf>
    <xf numFmtId="0" fontId="5" fillId="0" borderId="31" xfId="5" applyFont="1" applyFill="1" applyBorder="1" applyAlignment="1">
      <alignment horizontal="center" vertical="center"/>
    </xf>
    <xf numFmtId="0" fontId="5" fillId="0" borderId="24" xfId="5" applyFont="1" applyFill="1" applyBorder="1" applyAlignment="1">
      <alignment horizontal="center" vertical="center"/>
    </xf>
    <xf numFmtId="0" fontId="5" fillId="0" borderId="21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/>
    </xf>
    <xf numFmtId="0" fontId="5" fillId="0" borderId="12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29" xfId="5" applyFont="1" applyFill="1" applyBorder="1" applyAlignment="1">
      <alignment horizontal="center" vertical="center"/>
    </xf>
    <xf numFmtId="0" fontId="5" fillId="0" borderId="26" xfId="5" applyFont="1" applyFill="1" applyBorder="1" applyAlignment="1">
      <alignment horizontal="center" vertical="center"/>
    </xf>
    <xf numFmtId="0" fontId="9" fillId="0" borderId="26" xfId="4" applyFont="1" applyFill="1" applyBorder="1" applyAlignment="1"/>
    <xf numFmtId="0" fontId="9" fillId="0" borderId="25" xfId="4" applyFont="1" applyFill="1" applyBorder="1" applyAlignment="1"/>
    <xf numFmtId="0" fontId="5" fillId="0" borderId="29" xfId="5" applyFont="1" applyFill="1" applyBorder="1" applyAlignment="1">
      <alignment horizontal="center" vertical="center" wrapText="1"/>
    </xf>
    <xf numFmtId="0" fontId="5" fillId="0" borderId="63" xfId="5" applyFont="1" applyFill="1" applyBorder="1" applyAlignment="1">
      <alignment horizontal="center" vertical="center" wrapText="1"/>
    </xf>
    <xf numFmtId="0" fontId="5" fillId="0" borderId="64" xfId="5" applyFont="1" applyFill="1" applyBorder="1" applyAlignment="1">
      <alignment horizontal="center" vertical="center" wrapText="1"/>
    </xf>
    <xf numFmtId="0" fontId="5" fillId="0" borderId="64" xfId="5" applyFont="1" applyFill="1" applyBorder="1" applyAlignment="1">
      <alignment horizontal="center" vertical="center"/>
    </xf>
    <xf numFmtId="0" fontId="5" fillId="0" borderId="63" xfId="5" applyFont="1" applyFill="1" applyBorder="1" applyAlignment="1">
      <alignment horizontal="center" vertical="center"/>
    </xf>
    <xf numFmtId="0" fontId="5" fillId="0" borderId="51" xfId="5" applyFont="1" applyFill="1" applyBorder="1" applyAlignment="1">
      <alignment horizontal="center" vertical="center"/>
    </xf>
    <xf numFmtId="0" fontId="9" fillId="0" borderId="51" xfId="5" applyFont="1" applyFill="1" applyBorder="1" applyAlignment="1">
      <alignment horizontal="center" vertical="center"/>
    </xf>
    <xf numFmtId="0" fontId="5" fillId="0" borderId="51" xfId="5" applyFont="1" applyFill="1" applyBorder="1" applyAlignment="1">
      <alignment horizontal="center" vertical="center" wrapText="1"/>
    </xf>
    <xf numFmtId="0" fontId="5" fillId="0" borderId="44" xfId="5" applyFont="1" applyFill="1" applyBorder="1" applyAlignment="1">
      <alignment horizontal="center" vertical="center" wrapText="1"/>
    </xf>
    <xf numFmtId="0" fontId="9" fillId="0" borderId="50" xfId="5" applyFont="1" applyFill="1" applyBorder="1" applyAlignment="1">
      <alignment horizontal="center" vertical="center"/>
    </xf>
  </cellXfs>
  <cellStyles count="6">
    <cellStyle name="桁区切り 2" xfId="1"/>
    <cellStyle name="桁区切り 2 2" xfId="2"/>
    <cellStyle name="桁区切り 3" xfId="3"/>
    <cellStyle name="標準" xfId="0" builtinId="0"/>
    <cellStyle name="標準 2" xfId="4"/>
    <cellStyle name="標準_20第6部p64（統計年報_H16年度）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g01142\d\02&#20225;&#30011;&#20418;\004_&#21508;&#26696;&#20214;&#12501;&#12457;&#12523;&#12480;&#65288;&#20116;&#21313;&#38899;&#38918;&#65289;\&#65288;&#12392;&#65289;&#32113;&#35336;\&#32113;&#35336;&#24180;&#22577;\&#32113;&#35336;&#24180;&#22577;&#65288;&#31532;68&#24059;&#65289;\&#21508;&#37096;&#25552;&#20986;\&#32113;&#21512;&#29256;\&#21508;&#37096;&#25552;&#20986;&#26368;&#32066;&#29256;\&#27700;&#36335;&#36890;&#22577;&#32113;&#35336;&#34920;2017&#20840;&#20307;&#34920;&#12467;&#12500;&#125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-水路通報件数p58"/>
      <sheetName val="1 水路通報実施p59-70"/>
      <sheetName val="資料3"/>
      <sheetName val="資料4"/>
      <sheetName val="通報 和文 (細分化）"/>
      <sheetName val="通報 和文"/>
      <sheetName val="通報 英文"/>
      <sheetName val="本庁航行警報"/>
      <sheetName val="外国通報等取り扱い資料件集計"/>
      <sheetName val="Sheet2"/>
      <sheetName val="Sheet1"/>
    </sheetNames>
    <sheetDataSet>
      <sheetData sheetId="0"/>
      <sheetData sheetId="1"/>
      <sheetData sheetId="2"/>
      <sheetData sheetId="3"/>
      <sheetData sheetId="4"/>
      <sheetData sheetId="5">
        <row r="56">
          <cell r="B56">
            <v>1301</v>
          </cell>
          <cell r="C56">
            <v>0</v>
          </cell>
          <cell r="D56">
            <v>0</v>
          </cell>
          <cell r="E56">
            <v>581</v>
          </cell>
          <cell r="F56">
            <v>260</v>
          </cell>
          <cell r="G56">
            <v>648</v>
          </cell>
          <cell r="H56">
            <v>139</v>
          </cell>
          <cell r="I56">
            <v>27</v>
          </cell>
          <cell r="J56">
            <v>34</v>
          </cell>
          <cell r="K56">
            <v>0</v>
          </cell>
          <cell r="L56">
            <v>25</v>
          </cell>
          <cell r="M56">
            <v>0</v>
          </cell>
          <cell r="N56">
            <v>175</v>
          </cell>
          <cell r="O56">
            <v>13</v>
          </cell>
          <cell r="P56">
            <v>316</v>
          </cell>
          <cell r="Q56">
            <v>125</v>
          </cell>
        </row>
      </sheetData>
      <sheetData sheetId="6">
        <row r="56">
          <cell r="B56">
            <v>1301</v>
          </cell>
          <cell r="C56">
            <v>0</v>
          </cell>
          <cell r="D56">
            <v>0</v>
          </cell>
          <cell r="E56">
            <v>581</v>
          </cell>
          <cell r="F56">
            <v>260</v>
          </cell>
          <cell r="G56">
            <v>648</v>
          </cell>
          <cell r="H56">
            <v>139</v>
          </cell>
          <cell r="I56">
            <v>27</v>
          </cell>
          <cell r="J56">
            <v>34</v>
          </cell>
          <cell r="K56">
            <v>0</v>
          </cell>
          <cell r="L56">
            <v>25</v>
          </cell>
          <cell r="M56">
            <v>0</v>
          </cell>
          <cell r="N56">
            <v>175</v>
          </cell>
          <cell r="O56">
            <v>13</v>
          </cell>
          <cell r="P56">
            <v>316</v>
          </cell>
          <cell r="Q56">
            <v>74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view="pageBreakPreview" zoomScaleNormal="100" zoomScaleSheetLayoutView="100" workbookViewId="0">
      <selection activeCell="E5" sqref="E5"/>
    </sheetView>
  </sheetViews>
  <sheetFormatPr defaultRowHeight="12"/>
  <cols>
    <col min="1" max="1" width="2.375" style="89" customWidth="1"/>
    <col min="2" max="2" width="13.75" style="89" customWidth="1"/>
    <col min="3" max="3" width="3" style="89" customWidth="1"/>
    <col min="4" max="4" width="2.375" style="89" customWidth="1"/>
    <col min="5" max="5" width="12.875" style="89" customWidth="1"/>
    <col min="6" max="6" width="3.25" style="89" customWidth="1"/>
    <col min="7" max="7" width="2.375" style="89" customWidth="1"/>
    <col min="8" max="8" width="12.75" style="89" customWidth="1"/>
    <col min="9" max="9" width="3.125" style="89" customWidth="1"/>
    <col min="10" max="10" width="2.375" style="89" customWidth="1"/>
    <col min="11" max="11" width="12.75" style="89" customWidth="1"/>
    <col min="12" max="12" width="3" style="89" customWidth="1"/>
    <col min="13" max="19" width="9" style="89"/>
    <col min="20" max="20" width="9" style="90"/>
    <col min="21" max="16384" width="9" style="89"/>
  </cols>
  <sheetData>
    <row r="1" spans="1:20" ht="41.25" customHeight="1">
      <c r="A1" s="320" t="s">
        <v>86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S1" s="90"/>
      <c r="T1" s="89"/>
    </row>
    <row r="2" spans="1:20" s="91" customFormat="1" ht="28.5" customHeight="1" thickBot="1">
      <c r="B2" s="91" t="s">
        <v>85</v>
      </c>
      <c r="K2" s="130"/>
      <c r="S2" s="92"/>
    </row>
    <row r="3" spans="1:20" s="91" customFormat="1" ht="36" customHeight="1" thickBot="1">
      <c r="A3" s="129"/>
      <c r="B3" s="125" t="s">
        <v>84</v>
      </c>
      <c r="C3" s="126"/>
      <c r="D3" s="129"/>
      <c r="E3" s="133" t="s">
        <v>83</v>
      </c>
      <c r="F3" s="126"/>
      <c r="G3" s="128"/>
      <c r="H3" s="125" t="s">
        <v>82</v>
      </c>
      <c r="I3" s="127"/>
      <c r="J3" s="126"/>
      <c r="K3" s="125" t="s">
        <v>81</v>
      </c>
      <c r="L3" s="124"/>
      <c r="S3" s="92"/>
    </row>
    <row r="4" spans="1:20" s="91" customFormat="1" ht="36" customHeight="1" thickBot="1">
      <c r="A4" s="123"/>
      <c r="B4" s="122" t="s">
        <v>80</v>
      </c>
      <c r="C4" s="121"/>
      <c r="D4" s="120"/>
      <c r="E4" s="132">
        <f>'1 水路通報実施P59-61'!H7</f>
        <v>41436</v>
      </c>
      <c r="F4" s="119" t="s">
        <v>34</v>
      </c>
      <c r="G4" s="118"/>
      <c r="H4" s="117">
        <v>40143</v>
      </c>
      <c r="I4" s="116" t="s">
        <v>34</v>
      </c>
      <c r="J4" s="115"/>
      <c r="K4" s="114">
        <f t="shared" ref="K4:K20" si="0">E4/H4</f>
        <v>1.0322098497870114</v>
      </c>
      <c r="L4" s="113"/>
      <c r="S4" s="92"/>
    </row>
    <row r="5" spans="1:20" s="91" customFormat="1" ht="36" customHeight="1">
      <c r="A5" s="112"/>
      <c r="B5" s="111" t="s">
        <v>15</v>
      </c>
      <c r="C5" s="110"/>
      <c r="D5" s="109"/>
      <c r="E5" s="107">
        <f>'1 水路通報実施P59-61'!I7</f>
        <v>4482</v>
      </c>
      <c r="F5" s="105"/>
      <c r="G5" s="108"/>
      <c r="H5" s="107">
        <v>3667</v>
      </c>
      <c r="I5" s="106"/>
      <c r="J5" s="105"/>
      <c r="K5" s="104">
        <f t="shared" si="0"/>
        <v>1.2222525224979548</v>
      </c>
      <c r="L5" s="103"/>
      <c r="S5" s="92"/>
    </row>
    <row r="6" spans="1:20" s="91" customFormat="1" ht="36" customHeight="1">
      <c r="A6" s="112"/>
      <c r="B6" s="111" t="s">
        <v>14</v>
      </c>
      <c r="C6" s="110"/>
      <c r="D6" s="109"/>
      <c r="E6" s="107">
        <f>'1 水路通報実施P59-61'!J7</f>
        <v>47</v>
      </c>
      <c r="F6" s="105"/>
      <c r="G6" s="108"/>
      <c r="H6" s="107">
        <v>124</v>
      </c>
      <c r="I6" s="106"/>
      <c r="J6" s="105"/>
      <c r="K6" s="104">
        <f t="shared" si="0"/>
        <v>0.37903225806451613</v>
      </c>
      <c r="L6" s="103"/>
      <c r="S6" s="92"/>
    </row>
    <row r="7" spans="1:20" s="91" customFormat="1" ht="36" customHeight="1">
      <c r="A7" s="112"/>
      <c r="B7" s="111" t="s">
        <v>13</v>
      </c>
      <c r="C7" s="110"/>
      <c r="D7" s="109"/>
      <c r="E7" s="107">
        <f>'1 水路通報実施P59-61'!K7</f>
        <v>3149</v>
      </c>
      <c r="F7" s="105"/>
      <c r="G7" s="108"/>
      <c r="H7" s="107">
        <v>2468</v>
      </c>
      <c r="I7" s="106"/>
      <c r="J7" s="105"/>
      <c r="K7" s="104">
        <f t="shared" si="0"/>
        <v>1.2759319286871962</v>
      </c>
      <c r="L7" s="103"/>
      <c r="S7" s="92"/>
    </row>
    <row r="8" spans="1:20" s="91" customFormat="1" ht="36" customHeight="1">
      <c r="A8" s="112"/>
      <c r="B8" s="111" t="s">
        <v>12</v>
      </c>
      <c r="C8" s="110"/>
      <c r="D8" s="109"/>
      <c r="E8" s="107">
        <f>'1 水路通報実施P59-61'!L7</f>
        <v>5885</v>
      </c>
      <c r="F8" s="105"/>
      <c r="G8" s="108"/>
      <c r="H8" s="107">
        <v>5672</v>
      </c>
      <c r="I8" s="106"/>
      <c r="J8" s="105"/>
      <c r="K8" s="104">
        <f t="shared" si="0"/>
        <v>1.0375528913963328</v>
      </c>
      <c r="L8" s="103"/>
      <c r="S8" s="92"/>
    </row>
    <row r="9" spans="1:20" s="91" customFormat="1" ht="36" customHeight="1">
      <c r="A9" s="112"/>
      <c r="B9" s="111" t="s">
        <v>11</v>
      </c>
      <c r="C9" s="110"/>
      <c r="D9" s="109"/>
      <c r="E9" s="107">
        <f>'1 水路通報実施P59-61'!M7</f>
        <v>10340</v>
      </c>
      <c r="F9" s="105"/>
      <c r="G9" s="108"/>
      <c r="H9" s="107">
        <v>10239</v>
      </c>
      <c r="I9" s="106"/>
      <c r="J9" s="105"/>
      <c r="K9" s="104">
        <f t="shared" si="0"/>
        <v>1.0098642445551322</v>
      </c>
      <c r="L9" s="103"/>
      <c r="S9" s="92"/>
    </row>
    <row r="10" spans="1:20" s="91" customFormat="1" ht="36" customHeight="1">
      <c r="A10" s="112"/>
      <c r="B10" s="111" t="s">
        <v>10</v>
      </c>
      <c r="C10" s="110"/>
      <c r="D10" s="109"/>
      <c r="E10" s="107">
        <f>'1 水路通報実施P59-61'!N7</f>
        <v>4768</v>
      </c>
      <c r="F10" s="105"/>
      <c r="G10" s="108"/>
      <c r="H10" s="107">
        <v>4823</v>
      </c>
      <c r="I10" s="106"/>
      <c r="J10" s="105"/>
      <c r="K10" s="104">
        <f t="shared" si="0"/>
        <v>0.98859630935102638</v>
      </c>
      <c r="L10" s="103"/>
      <c r="S10" s="92"/>
    </row>
    <row r="11" spans="1:20" s="91" customFormat="1" ht="36" customHeight="1">
      <c r="A11" s="112"/>
      <c r="B11" s="111" t="s">
        <v>9</v>
      </c>
      <c r="C11" s="110"/>
      <c r="D11" s="109"/>
      <c r="E11" s="107">
        <f>'1 水路通報実施P59-61'!O7</f>
        <v>922</v>
      </c>
      <c r="F11" s="105"/>
      <c r="G11" s="108"/>
      <c r="H11" s="107">
        <v>880</v>
      </c>
      <c r="I11" s="106"/>
      <c r="J11" s="105"/>
      <c r="K11" s="104">
        <f t="shared" si="0"/>
        <v>1.0477272727272726</v>
      </c>
      <c r="L11" s="103"/>
      <c r="S11" s="92"/>
    </row>
    <row r="12" spans="1:20" s="91" customFormat="1" ht="36" customHeight="1">
      <c r="A12" s="112"/>
      <c r="B12" s="111" t="s">
        <v>8</v>
      </c>
      <c r="C12" s="110"/>
      <c r="D12" s="109"/>
      <c r="E12" s="107">
        <f>'1 水路通報実施P59-61'!P7</f>
        <v>225</v>
      </c>
      <c r="F12" s="105"/>
      <c r="G12" s="108"/>
      <c r="H12" s="107">
        <v>304</v>
      </c>
      <c r="I12" s="106"/>
      <c r="J12" s="105"/>
      <c r="K12" s="104">
        <f t="shared" si="0"/>
        <v>0.74013157894736847</v>
      </c>
      <c r="L12" s="103"/>
      <c r="S12" s="92"/>
    </row>
    <row r="13" spans="1:20" s="91" customFormat="1" ht="36" customHeight="1">
      <c r="A13" s="112"/>
      <c r="B13" s="111" t="s">
        <v>7</v>
      </c>
      <c r="C13" s="110"/>
      <c r="D13" s="109"/>
      <c r="E13" s="107">
        <f>'1 水路通報実施P59-61'!Q7</f>
        <v>5908</v>
      </c>
      <c r="F13" s="105"/>
      <c r="G13" s="108"/>
      <c r="H13" s="107">
        <v>6954</v>
      </c>
      <c r="I13" s="106"/>
      <c r="J13" s="105"/>
      <c r="K13" s="104">
        <f t="shared" si="0"/>
        <v>0.84958297382801262</v>
      </c>
      <c r="L13" s="103"/>
      <c r="S13" s="92"/>
    </row>
    <row r="14" spans="1:20" s="91" customFormat="1" ht="36" customHeight="1">
      <c r="A14" s="112"/>
      <c r="B14" s="111" t="s">
        <v>6</v>
      </c>
      <c r="C14" s="110"/>
      <c r="D14" s="109"/>
      <c r="E14" s="107">
        <f>'1 水路通報実施P59-61'!R7</f>
        <v>643</v>
      </c>
      <c r="F14" s="105"/>
      <c r="G14" s="108"/>
      <c r="H14" s="107">
        <v>716</v>
      </c>
      <c r="I14" s="106"/>
      <c r="J14" s="105"/>
      <c r="K14" s="104">
        <f t="shared" si="0"/>
        <v>0.89804469273743015</v>
      </c>
      <c r="L14" s="103"/>
      <c r="S14" s="92"/>
    </row>
    <row r="15" spans="1:20" s="91" customFormat="1" ht="36" customHeight="1">
      <c r="A15" s="112"/>
      <c r="B15" s="111" t="s">
        <v>79</v>
      </c>
      <c r="C15" s="110"/>
      <c r="D15" s="109"/>
      <c r="E15" s="107">
        <f>'1 水路通報実施P59-61'!S7</f>
        <v>650</v>
      </c>
      <c r="F15" s="105"/>
      <c r="G15" s="108"/>
      <c r="H15" s="107">
        <v>585</v>
      </c>
      <c r="I15" s="106"/>
      <c r="J15" s="105"/>
      <c r="K15" s="104">
        <f t="shared" si="0"/>
        <v>1.1111111111111112</v>
      </c>
      <c r="L15" s="103"/>
      <c r="S15" s="92"/>
    </row>
    <row r="16" spans="1:20" s="91" customFormat="1" ht="36" customHeight="1">
      <c r="A16" s="112"/>
      <c r="B16" s="111" t="s">
        <v>4</v>
      </c>
      <c r="C16" s="110"/>
      <c r="D16" s="109"/>
      <c r="E16" s="107">
        <f>'1 水路通報実施P59-61'!T7</f>
        <v>0</v>
      </c>
      <c r="F16" s="105"/>
      <c r="G16" s="108"/>
      <c r="H16" s="107">
        <v>10</v>
      </c>
      <c r="I16" s="106"/>
      <c r="J16" s="105"/>
      <c r="K16" s="104">
        <f t="shared" si="0"/>
        <v>0</v>
      </c>
      <c r="L16" s="103"/>
      <c r="S16" s="92"/>
    </row>
    <row r="17" spans="1:19" s="91" customFormat="1" ht="36" customHeight="1">
      <c r="A17" s="112"/>
      <c r="B17" s="111" t="s">
        <v>3</v>
      </c>
      <c r="C17" s="110"/>
      <c r="D17" s="109"/>
      <c r="E17" s="107">
        <f>'1 水路通報実施P59-61'!U7</f>
        <v>1012</v>
      </c>
      <c r="F17" s="105"/>
      <c r="G17" s="108"/>
      <c r="H17" s="107">
        <v>1011</v>
      </c>
      <c r="I17" s="106"/>
      <c r="J17" s="105"/>
      <c r="K17" s="104">
        <f t="shared" si="0"/>
        <v>1.0009891196834817</v>
      </c>
      <c r="L17" s="103"/>
      <c r="S17" s="92"/>
    </row>
    <row r="18" spans="1:19" s="91" customFormat="1" ht="36" customHeight="1">
      <c r="A18" s="112"/>
      <c r="B18" s="111" t="s">
        <v>2</v>
      </c>
      <c r="C18" s="110"/>
      <c r="D18" s="109"/>
      <c r="E18" s="107">
        <f>'1 水路通報実施P59-61'!V7</f>
        <v>64</v>
      </c>
      <c r="F18" s="105"/>
      <c r="G18" s="108"/>
      <c r="H18" s="107">
        <v>99</v>
      </c>
      <c r="I18" s="106"/>
      <c r="J18" s="105"/>
      <c r="K18" s="104">
        <f t="shared" si="0"/>
        <v>0.64646464646464652</v>
      </c>
      <c r="L18" s="103"/>
      <c r="S18" s="92"/>
    </row>
    <row r="19" spans="1:19" s="91" customFormat="1" ht="36" customHeight="1">
      <c r="A19" s="112"/>
      <c r="B19" s="111" t="s">
        <v>1</v>
      </c>
      <c r="C19" s="110"/>
      <c r="D19" s="109"/>
      <c r="E19" s="107">
        <f>'1 水路通報実施P59-61'!W7</f>
        <v>640</v>
      </c>
      <c r="F19" s="105"/>
      <c r="G19" s="108"/>
      <c r="H19" s="107">
        <v>652</v>
      </c>
      <c r="I19" s="106"/>
      <c r="J19" s="105"/>
      <c r="K19" s="104">
        <f t="shared" si="0"/>
        <v>0.98159509202453987</v>
      </c>
      <c r="L19" s="103"/>
      <c r="S19" s="92"/>
    </row>
    <row r="20" spans="1:19" s="91" customFormat="1" ht="36" customHeight="1" thickBot="1">
      <c r="A20" s="102"/>
      <c r="B20" s="101" t="s">
        <v>0</v>
      </c>
      <c r="C20" s="100"/>
      <c r="D20" s="99"/>
      <c r="E20" s="97">
        <f>'1 水路通報実施P59-61'!X7</f>
        <v>2701</v>
      </c>
      <c r="F20" s="95"/>
      <c r="G20" s="98"/>
      <c r="H20" s="97">
        <v>1939</v>
      </c>
      <c r="I20" s="96"/>
      <c r="J20" s="95"/>
      <c r="K20" s="94">
        <f t="shared" si="0"/>
        <v>1.3929860752965446</v>
      </c>
      <c r="L20" s="93"/>
      <c r="S20" s="92"/>
    </row>
  </sheetData>
  <mergeCells count="1">
    <mergeCell ref="A1:L1"/>
  </mergeCells>
  <phoneticPr fontId="1"/>
  <pageMargins left="0.98425196850393704" right="0.78740157480314965" top="0.9055118110236221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5"/>
  <sheetViews>
    <sheetView view="pageBreakPreview" zoomScaleNormal="100" zoomScaleSheetLayoutView="100" workbookViewId="0">
      <pane ySplit="5" topLeftCell="A6" activePane="bottomLeft" state="frozen"/>
      <selection activeCell="O10" sqref="O10"/>
      <selection pane="bottomLeft" activeCell="B62" sqref="B62:F62"/>
    </sheetView>
  </sheetViews>
  <sheetFormatPr defaultRowHeight="10.5"/>
  <cols>
    <col min="1" max="1" width="0.75" style="6" customWidth="1"/>
    <col min="2" max="2" width="7.875" style="6" customWidth="1"/>
    <col min="3" max="3" width="0.75" style="6" customWidth="1"/>
    <col min="4" max="4" width="7.875" style="6" customWidth="1"/>
    <col min="5" max="5" width="0.75" style="6" customWidth="1"/>
    <col min="6" max="6" width="9.25" style="6" customWidth="1"/>
    <col min="7" max="7" width="0.875" style="6" customWidth="1"/>
    <col min="8" max="8" width="7.625" style="5" customWidth="1"/>
    <col min="9" max="24" width="5.875" style="5" customWidth="1"/>
    <col min="25" max="16384" width="9" style="5"/>
  </cols>
  <sheetData>
    <row r="1" spans="1:24" s="6" customFormat="1" ht="24" customHeight="1">
      <c r="A1" s="85" t="s">
        <v>78</v>
      </c>
      <c r="B1" s="8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</row>
    <row r="2" spans="1:24" s="6" customFormat="1" ht="20.25" customHeight="1" thickBot="1">
      <c r="A2" s="45"/>
      <c r="B2" s="321" t="s">
        <v>77</v>
      </c>
      <c r="C2" s="322"/>
      <c r="D2" s="322"/>
      <c r="E2" s="322"/>
      <c r="F2" s="322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</row>
    <row r="3" spans="1:24" s="6" customFormat="1">
      <c r="A3" s="323" t="s">
        <v>59</v>
      </c>
      <c r="B3" s="324"/>
      <c r="C3" s="324"/>
      <c r="D3" s="324"/>
      <c r="E3" s="324"/>
      <c r="F3" s="324"/>
      <c r="G3" s="325"/>
      <c r="H3" s="84"/>
      <c r="I3" s="65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2"/>
    </row>
    <row r="4" spans="1:24" s="6" customFormat="1" ht="54.6" customHeight="1">
      <c r="A4" s="326"/>
      <c r="B4" s="327"/>
      <c r="C4" s="327"/>
      <c r="D4" s="327"/>
      <c r="E4" s="327"/>
      <c r="F4" s="327"/>
      <c r="G4" s="328"/>
      <c r="H4" s="81" t="s">
        <v>16</v>
      </c>
      <c r="I4" s="80" t="s">
        <v>15</v>
      </c>
      <c r="J4" s="78" t="s">
        <v>14</v>
      </c>
      <c r="K4" s="78" t="s">
        <v>13</v>
      </c>
      <c r="L4" s="78" t="s">
        <v>12</v>
      </c>
      <c r="M4" s="78" t="s">
        <v>11</v>
      </c>
      <c r="N4" s="78" t="s">
        <v>10</v>
      </c>
      <c r="O4" s="78" t="s">
        <v>9</v>
      </c>
      <c r="P4" s="78" t="s">
        <v>8</v>
      </c>
      <c r="Q4" s="78" t="s">
        <v>7</v>
      </c>
      <c r="R4" s="78" t="s">
        <v>6</v>
      </c>
      <c r="S4" s="79" t="s">
        <v>5</v>
      </c>
      <c r="T4" s="78" t="s">
        <v>4</v>
      </c>
      <c r="U4" s="78" t="s">
        <v>3</v>
      </c>
      <c r="V4" s="78" t="s">
        <v>2</v>
      </c>
      <c r="W4" s="78" t="s">
        <v>1</v>
      </c>
      <c r="X4" s="77" t="s">
        <v>0</v>
      </c>
    </row>
    <row r="5" spans="1:24" s="6" customFormat="1" ht="9.6" customHeight="1" thickBot="1">
      <c r="A5" s="329"/>
      <c r="B5" s="330"/>
      <c r="C5" s="330"/>
      <c r="D5" s="330"/>
      <c r="E5" s="330"/>
      <c r="F5" s="330"/>
      <c r="G5" s="331"/>
      <c r="H5" s="76"/>
      <c r="I5" s="75"/>
      <c r="J5" s="73"/>
      <c r="K5" s="73"/>
      <c r="L5" s="73"/>
      <c r="M5" s="73"/>
      <c r="N5" s="73"/>
      <c r="O5" s="73"/>
      <c r="P5" s="73"/>
      <c r="Q5" s="73"/>
      <c r="R5" s="73"/>
      <c r="S5" s="74"/>
      <c r="T5" s="73"/>
      <c r="U5" s="73"/>
      <c r="V5" s="73"/>
      <c r="W5" s="73"/>
      <c r="X5" s="72"/>
    </row>
    <row r="6" spans="1:24" s="6" customFormat="1" ht="18.75" customHeight="1">
      <c r="A6" s="34"/>
      <c r="B6" s="332"/>
      <c r="C6" s="333"/>
      <c r="D6" s="333"/>
      <c r="E6" s="333"/>
      <c r="F6" s="333"/>
      <c r="G6" s="33"/>
      <c r="H6" s="71" t="s">
        <v>34</v>
      </c>
      <c r="I6" s="70" t="s">
        <v>34</v>
      </c>
      <c r="J6" s="69" t="s">
        <v>34</v>
      </c>
      <c r="K6" s="69" t="s">
        <v>34</v>
      </c>
      <c r="L6" s="69" t="s">
        <v>34</v>
      </c>
      <c r="M6" s="69" t="s">
        <v>34</v>
      </c>
      <c r="N6" s="69" t="s">
        <v>34</v>
      </c>
      <c r="O6" s="69" t="s">
        <v>34</v>
      </c>
      <c r="P6" s="69" t="s">
        <v>34</v>
      </c>
      <c r="Q6" s="69" t="s">
        <v>34</v>
      </c>
      <c r="R6" s="69" t="s">
        <v>34</v>
      </c>
      <c r="S6" s="69" t="s">
        <v>34</v>
      </c>
      <c r="T6" s="69" t="s">
        <v>34</v>
      </c>
      <c r="U6" s="69" t="s">
        <v>34</v>
      </c>
      <c r="V6" s="69" t="s">
        <v>34</v>
      </c>
      <c r="W6" s="69" t="s">
        <v>34</v>
      </c>
      <c r="X6" s="68" t="s">
        <v>34</v>
      </c>
    </row>
    <row r="7" spans="1:24" ht="20.45" customHeight="1" thickBot="1">
      <c r="A7" s="28"/>
      <c r="B7" s="334" t="s">
        <v>76</v>
      </c>
      <c r="C7" s="334"/>
      <c r="D7" s="334"/>
      <c r="E7" s="334"/>
      <c r="F7" s="334"/>
      <c r="G7" s="27"/>
      <c r="H7" s="26">
        <v>41436</v>
      </c>
      <c r="I7" s="17">
        <v>4482</v>
      </c>
      <c r="J7" s="67">
        <v>47</v>
      </c>
      <c r="K7" s="131">
        <v>3149</v>
      </c>
      <c r="L7" s="67">
        <v>5885</v>
      </c>
      <c r="M7" s="131">
        <v>10340</v>
      </c>
      <c r="N7" s="67">
        <v>4768</v>
      </c>
      <c r="O7" s="131">
        <v>922</v>
      </c>
      <c r="P7" s="67">
        <v>225</v>
      </c>
      <c r="Q7" s="131">
        <v>5908</v>
      </c>
      <c r="R7" s="67">
        <v>643</v>
      </c>
      <c r="S7" s="67">
        <v>650</v>
      </c>
      <c r="T7" s="67">
        <v>0</v>
      </c>
      <c r="U7" s="131">
        <v>1012</v>
      </c>
      <c r="V7" s="67">
        <v>64</v>
      </c>
      <c r="W7" s="131">
        <v>640</v>
      </c>
      <c r="X7" s="66">
        <v>2701</v>
      </c>
    </row>
    <row r="8" spans="1:24" ht="30" customHeight="1">
      <c r="A8" s="25"/>
      <c r="B8" s="335" t="s">
        <v>75</v>
      </c>
      <c r="C8" s="335"/>
      <c r="D8" s="335"/>
      <c r="E8" s="336"/>
      <c r="F8" s="57" t="s">
        <v>70</v>
      </c>
      <c r="G8" s="24"/>
      <c r="H8" s="56">
        <f>SUM(I8:X8)</f>
        <v>3644</v>
      </c>
      <c r="I8" s="7">
        <f>'[1]通報 和文'!B56</f>
        <v>1301</v>
      </c>
      <c r="J8" s="55">
        <f>'[1]通報 和文'!C56</f>
        <v>0</v>
      </c>
      <c r="K8" s="55">
        <f>'[1]通報 和文'!D56</f>
        <v>0</v>
      </c>
      <c r="L8" s="55">
        <f>'[1]通報 和文'!E56</f>
        <v>581</v>
      </c>
      <c r="M8" s="55">
        <f>'[1]通報 和文'!F56</f>
        <v>260</v>
      </c>
      <c r="N8" s="55">
        <f>'[1]通報 和文'!G56</f>
        <v>648</v>
      </c>
      <c r="O8" s="55">
        <f>'[1]通報 和文'!H56</f>
        <v>139</v>
      </c>
      <c r="P8" s="55">
        <f>'[1]通報 和文'!I56</f>
        <v>27</v>
      </c>
      <c r="Q8" s="55">
        <f>'[1]通報 和文'!J56</f>
        <v>34</v>
      </c>
      <c r="R8" s="55">
        <f>'[1]通報 和文'!K56</f>
        <v>0</v>
      </c>
      <c r="S8" s="55">
        <f>'[1]通報 和文'!L56</f>
        <v>25</v>
      </c>
      <c r="T8" s="55">
        <f>'[1]通報 和文'!M56</f>
        <v>0</v>
      </c>
      <c r="U8" s="55">
        <f>'[1]通報 和文'!N56</f>
        <v>175</v>
      </c>
      <c r="V8" s="55">
        <f>'[1]通報 和文'!O56</f>
        <v>13</v>
      </c>
      <c r="W8" s="55">
        <f>'[1]通報 和文'!P56</f>
        <v>316</v>
      </c>
      <c r="X8" s="54">
        <f>'[1]通報 和文'!Q56</f>
        <v>125</v>
      </c>
    </row>
    <row r="9" spans="1:24" ht="30" customHeight="1">
      <c r="A9" s="25"/>
      <c r="B9" s="337" t="s">
        <v>75</v>
      </c>
      <c r="C9" s="338"/>
      <c r="D9" s="338"/>
      <c r="E9" s="338"/>
      <c r="F9" s="57" t="s">
        <v>74</v>
      </c>
      <c r="G9" s="24"/>
      <c r="H9" s="56">
        <f>SUM(I9:X9)</f>
        <v>3593</v>
      </c>
      <c r="I9" s="7">
        <f>'[1]通報 英文'!B56</f>
        <v>1301</v>
      </c>
      <c r="J9" s="55">
        <f>'[1]通報 英文'!C56</f>
        <v>0</v>
      </c>
      <c r="K9" s="55">
        <f>'[1]通報 英文'!D56</f>
        <v>0</v>
      </c>
      <c r="L9" s="55">
        <f>'[1]通報 英文'!E56</f>
        <v>581</v>
      </c>
      <c r="M9" s="55">
        <f>'[1]通報 英文'!F56</f>
        <v>260</v>
      </c>
      <c r="N9" s="55">
        <f>'[1]通報 英文'!G56</f>
        <v>648</v>
      </c>
      <c r="O9" s="55">
        <f>'[1]通報 英文'!H56</f>
        <v>139</v>
      </c>
      <c r="P9" s="55">
        <f>'[1]通報 英文'!I56</f>
        <v>27</v>
      </c>
      <c r="Q9" s="55">
        <f>'[1]通報 英文'!J56</f>
        <v>34</v>
      </c>
      <c r="R9" s="55">
        <f>'[1]通報 英文'!K56</f>
        <v>0</v>
      </c>
      <c r="S9" s="55">
        <f>'[1]通報 英文'!L56</f>
        <v>25</v>
      </c>
      <c r="T9" s="55">
        <f>'[1]通報 英文'!M56</f>
        <v>0</v>
      </c>
      <c r="U9" s="55">
        <f>'[1]通報 英文'!N56</f>
        <v>175</v>
      </c>
      <c r="V9" s="55">
        <f>'[1]通報 英文'!O56</f>
        <v>13</v>
      </c>
      <c r="W9" s="55">
        <f>'[1]通報 英文'!P56</f>
        <v>316</v>
      </c>
      <c r="X9" s="54">
        <f>'[1]通報 英文'!Q56</f>
        <v>74</v>
      </c>
    </row>
    <row r="10" spans="1:24" ht="30" customHeight="1">
      <c r="A10" s="25"/>
      <c r="B10" s="337" t="s">
        <v>73</v>
      </c>
      <c r="C10" s="337"/>
      <c r="D10" s="337"/>
      <c r="E10" s="338"/>
      <c r="F10" s="57" t="s">
        <v>72</v>
      </c>
      <c r="G10" s="24"/>
      <c r="H10" s="56">
        <f t="shared" ref="H10:N10" si="0">SUM(H11,H12,H13,H14,H15,H16,H17,H18,H19,H20,H21)</f>
        <v>18214</v>
      </c>
      <c r="I10" s="137">
        <f t="shared" si="0"/>
        <v>1229</v>
      </c>
      <c r="J10" s="55">
        <f t="shared" si="0"/>
        <v>2</v>
      </c>
      <c r="K10" s="55">
        <f t="shared" si="0"/>
        <v>128</v>
      </c>
      <c r="L10" s="55">
        <f t="shared" si="0"/>
        <v>2579</v>
      </c>
      <c r="M10" s="55">
        <f t="shared" si="0"/>
        <v>3232</v>
      </c>
      <c r="N10" s="55">
        <f t="shared" si="0"/>
        <v>3449</v>
      </c>
      <c r="O10" s="55">
        <f t="shared" ref="O10:X10" si="1">SUM(O11:O21)</f>
        <v>220</v>
      </c>
      <c r="P10" s="55">
        <f t="shared" si="1"/>
        <v>10</v>
      </c>
      <c r="Q10" s="55">
        <f t="shared" si="1"/>
        <v>5354</v>
      </c>
      <c r="R10" s="55">
        <f t="shared" si="1"/>
        <v>190</v>
      </c>
      <c r="S10" s="55">
        <f t="shared" si="1"/>
        <v>269</v>
      </c>
      <c r="T10" s="55">
        <f t="shared" si="1"/>
        <v>0</v>
      </c>
      <c r="U10" s="55">
        <f t="shared" si="1"/>
        <v>658</v>
      </c>
      <c r="V10" s="55">
        <f t="shared" si="1"/>
        <v>38</v>
      </c>
      <c r="W10" s="55">
        <f t="shared" si="1"/>
        <v>6</v>
      </c>
      <c r="X10" s="59">
        <f t="shared" si="1"/>
        <v>850</v>
      </c>
    </row>
    <row r="11" spans="1:24" ht="30" customHeight="1">
      <c r="A11" s="25"/>
      <c r="B11" s="339" t="s">
        <v>71</v>
      </c>
      <c r="C11" s="339"/>
      <c r="D11" s="339"/>
      <c r="E11" s="340"/>
      <c r="F11" s="11" t="s">
        <v>70</v>
      </c>
      <c r="G11" s="24"/>
      <c r="H11" s="56">
        <f>SUM(I11:X11)</f>
        <v>1433</v>
      </c>
      <c r="I11" s="7">
        <v>70</v>
      </c>
      <c r="J11" s="55">
        <v>0</v>
      </c>
      <c r="K11" s="55">
        <v>0</v>
      </c>
      <c r="L11" s="55">
        <v>101</v>
      </c>
      <c r="M11" s="55">
        <v>458</v>
      </c>
      <c r="N11" s="55">
        <v>167</v>
      </c>
      <c r="O11" s="55">
        <v>14</v>
      </c>
      <c r="P11" s="55">
        <v>0</v>
      </c>
      <c r="Q11" s="55">
        <v>367</v>
      </c>
      <c r="R11" s="55">
        <v>5</v>
      </c>
      <c r="S11" s="55">
        <v>23</v>
      </c>
      <c r="T11" s="55">
        <v>0</v>
      </c>
      <c r="U11" s="55">
        <v>142</v>
      </c>
      <c r="V11" s="55">
        <v>2</v>
      </c>
      <c r="W11" s="55">
        <v>0</v>
      </c>
      <c r="X11" s="59">
        <v>84</v>
      </c>
    </row>
    <row r="12" spans="1:24" ht="30" customHeight="1">
      <c r="A12" s="25"/>
      <c r="B12" s="341" t="s">
        <v>69</v>
      </c>
      <c r="C12" s="341"/>
      <c r="D12" s="341"/>
      <c r="E12" s="342"/>
      <c r="F12" s="11"/>
      <c r="G12" s="24"/>
      <c r="H12" s="56">
        <f>SUM(I12:X12)</f>
        <v>1756</v>
      </c>
      <c r="I12" s="7">
        <v>162</v>
      </c>
      <c r="J12" s="55">
        <v>0</v>
      </c>
      <c r="K12" s="55">
        <v>0</v>
      </c>
      <c r="L12" s="55">
        <v>232</v>
      </c>
      <c r="M12" s="55">
        <v>241</v>
      </c>
      <c r="N12" s="55">
        <v>489</v>
      </c>
      <c r="O12" s="55">
        <v>39</v>
      </c>
      <c r="P12" s="55">
        <v>1</v>
      </c>
      <c r="Q12" s="55">
        <v>492</v>
      </c>
      <c r="R12" s="55">
        <v>12</v>
      </c>
      <c r="S12" s="55">
        <v>25</v>
      </c>
      <c r="T12" s="55">
        <v>0</v>
      </c>
      <c r="U12" s="55">
        <v>32</v>
      </c>
      <c r="V12" s="55">
        <v>4</v>
      </c>
      <c r="W12" s="55">
        <v>0</v>
      </c>
      <c r="X12" s="54">
        <v>27</v>
      </c>
    </row>
    <row r="13" spans="1:24" ht="30" customHeight="1">
      <c r="A13" s="25"/>
      <c r="B13" s="341" t="s">
        <v>68</v>
      </c>
      <c r="C13" s="341"/>
      <c r="D13" s="341"/>
      <c r="E13" s="342"/>
      <c r="F13" s="11"/>
      <c r="G13" s="24"/>
      <c r="H13" s="56">
        <f>SUM(I13:X13)</f>
        <v>2651</v>
      </c>
      <c r="I13" s="7">
        <v>204</v>
      </c>
      <c r="J13" s="55">
        <v>2</v>
      </c>
      <c r="K13" s="55">
        <v>0</v>
      </c>
      <c r="L13" s="55">
        <v>439</v>
      </c>
      <c r="M13" s="55">
        <v>309</v>
      </c>
      <c r="N13" s="55">
        <v>272</v>
      </c>
      <c r="O13" s="55">
        <v>13</v>
      </c>
      <c r="P13" s="55">
        <v>2</v>
      </c>
      <c r="Q13" s="55">
        <v>1227</v>
      </c>
      <c r="R13" s="55">
        <v>48</v>
      </c>
      <c r="S13" s="55">
        <v>30</v>
      </c>
      <c r="T13" s="55">
        <v>0</v>
      </c>
      <c r="U13" s="55">
        <v>10</v>
      </c>
      <c r="V13" s="55">
        <v>9</v>
      </c>
      <c r="W13" s="55">
        <v>0</v>
      </c>
      <c r="X13" s="59">
        <v>86</v>
      </c>
    </row>
    <row r="14" spans="1:24" ht="30" customHeight="1">
      <c r="A14" s="25"/>
      <c r="B14" s="341" t="s">
        <v>67</v>
      </c>
      <c r="C14" s="341"/>
      <c r="D14" s="341"/>
      <c r="E14" s="342"/>
      <c r="F14" s="11"/>
      <c r="G14" s="24"/>
      <c r="H14" s="56">
        <f>SUM(I14:X14)</f>
        <v>1647</v>
      </c>
      <c r="I14" s="7">
        <v>74</v>
      </c>
      <c r="J14" s="55">
        <v>0</v>
      </c>
      <c r="K14" s="55">
        <v>0</v>
      </c>
      <c r="L14" s="55">
        <v>216</v>
      </c>
      <c r="M14" s="55">
        <v>169</v>
      </c>
      <c r="N14" s="55">
        <v>360</v>
      </c>
      <c r="O14" s="55">
        <v>11</v>
      </c>
      <c r="P14" s="55">
        <v>0</v>
      </c>
      <c r="Q14" s="55">
        <v>560</v>
      </c>
      <c r="R14" s="55">
        <v>49</v>
      </c>
      <c r="S14" s="55">
        <v>29</v>
      </c>
      <c r="T14" s="55">
        <v>0</v>
      </c>
      <c r="U14" s="55">
        <v>64</v>
      </c>
      <c r="V14" s="55">
        <v>0</v>
      </c>
      <c r="W14" s="55">
        <v>0</v>
      </c>
      <c r="X14" s="54">
        <v>115</v>
      </c>
    </row>
    <row r="15" spans="1:24" ht="30" customHeight="1">
      <c r="A15" s="25"/>
      <c r="B15" s="341" t="s">
        <v>66</v>
      </c>
      <c r="C15" s="341"/>
      <c r="D15" s="341"/>
      <c r="E15" s="342"/>
      <c r="F15" s="11"/>
      <c r="G15" s="24"/>
      <c r="H15" s="56">
        <f>SUM(I15:Y15)</f>
        <v>2138</v>
      </c>
      <c r="I15" s="7">
        <v>85</v>
      </c>
      <c r="J15" s="55">
        <v>0</v>
      </c>
      <c r="K15" s="55">
        <v>0</v>
      </c>
      <c r="L15" s="55">
        <v>286</v>
      </c>
      <c r="M15" s="55">
        <v>375</v>
      </c>
      <c r="N15" s="55">
        <v>534</v>
      </c>
      <c r="O15" s="55">
        <v>3</v>
      </c>
      <c r="P15" s="55">
        <v>0</v>
      </c>
      <c r="Q15" s="55">
        <v>610</v>
      </c>
      <c r="R15" s="55">
        <v>0</v>
      </c>
      <c r="S15" s="55">
        <v>21</v>
      </c>
      <c r="T15" s="55">
        <v>0</v>
      </c>
      <c r="U15" s="55">
        <v>90</v>
      </c>
      <c r="V15" s="55">
        <v>0</v>
      </c>
      <c r="W15" s="55">
        <v>4</v>
      </c>
      <c r="X15" s="54">
        <v>130</v>
      </c>
    </row>
    <row r="16" spans="1:24" ht="30" customHeight="1">
      <c r="A16" s="25"/>
      <c r="B16" s="341" t="s">
        <v>65</v>
      </c>
      <c r="C16" s="341"/>
      <c r="D16" s="341"/>
      <c r="E16" s="342"/>
      <c r="F16" s="11"/>
      <c r="G16" s="24"/>
      <c r="H16" s="56">
        <f t="shared" ref="H16:H21" si="2">SUM(I16:X16)</f>
        <v>2105</v>
      </c>
      <c r="I16" s="7">
        <v>154</v>
      </c>
      <c r="J16" s="55">
        <v>0</v>
      </c>
      <c r="K16" s="55">
        <v>2</v>
      </c>
      <c r="L16" s="55">
        <v>345</v>
      </c>
      <c r="M16" s="55">
        <v>188</v>
      </c>
      <c r="N16" s="55">
        <v>562</v>
      </c>
      <c r="O16" s="55">
        <v>18</v>
      </c>
      <c r="P16" s="55">
        <v>3</v>
      </c>
      <c r="Q16" s="55">
        <v>639</v>
      </c>
      <c r="R16" s="55">
        <v>10</v>
      </c>
      <c r="S16" s="55">
        <v>20</v>
      </c>
      <c r="T16" s="55">
        <v>0</v>
      </c>
      <c r="U16" s="55">
        <v>29</v>
      </c>
      <c r="V16" s="55">
        <v>1</v>
      </c>
      <c r="W16" s="55">
        <v>2</v>
      </c>
      <c r="X16" s="54">
        <v>132</v>
      </c>
    </row>
    <row r="17" spans="1:25" ht="30" customHeight="1">
      <c r="A17" s="25"/>
      <c r="B17" s="341" t="s">
        <v>64</v>
      </c>
      <c r="C17" s="341"/>
      <c r="D17" s="341"/>
      <c r="E17" s="342"/>
      <c r="F17" s="11"/>
      <c r="G17" s="24"/>
      <c r="H17" s="56">
        <f t="shared" si="2"/>
        <v>2048</v>
      </c>
      <c r="I17" s="7">
        <v>232</v>
      </c>
      <c r="J17" s="55">
        <v>0</v>
      </c>
      <c r="K17" s="55">
        <v>0</v>
      </c>
      <c r="L17" s="55">
        <v>538</v>
      </c>
      <c r="M17" s="55">
        <v>221</v>
      </c>
      <c r="N17" s="55">
        <v>352</v>
      </c>
      <c r="O17" s="55">
        <v>11</v>
      </c>
      <c r="P17" s="55">
        <v>1</v>
      </c>
      <c r="Q17" s="55">
        <v>422</v>
      </c>
      <c r="R17" s="55">
        <v>36</v>
      </c>
      <c r="S17" s="55">
        <v>43</v>
      </c>
      <c r="T17" s="55">
        <v>0</v>
      </c>
      <c r="U17" s="55">
        <v>149</v>
      </c>
      <c r="V17" s="55">
        <v>5</v>
      </c>
      <c r="W17" s="55">
        <v>0</v>
      </c>
      <c r="X17" s="54">
        <v>38</v>
      </c>
    </row>
    <row r="18" spans="1:25" ht="30" customHeight="1">
      <c r="A18" s="25"/>
      <c r="B18" s="341" t="s">
        <v>63</v>
      </c>
      <c r="C18" s="341"/>
      <c r="D18" s="341"/>
      <c r="E18" s="342"/>
      <c r="F18" s="11"/>
      <c r="G18" s="24"/>
      <c r="H18" s="56">
        <f t="shared" si="2"/>
        <v>837</v>
      </c>
      <c r="I18" s="7">
        <v>90</v>
      </c>
      <c r="J18" s="55">
        <v>0</v>
      </c>
      <c r="K18" s="55">
        <v>0</v>
      </c>
      <c r="L18" s="55">
        <v>69</v>
      </c>
      <c r="M18" s="55">
        <v>228</v>
      </c>
      <c r="N18" s="55">
        <v>219</v>
      </c>
      <c r="O18" s="55">
        <v>14</v>
      </c>
      <c r="P18" s="55">
        <v>2</v>
      </c>
      <c r="Q18" s="55">
        <v>125</v>
      </c>
      <c r="R18" s="55">
        <v>18</v>
      </c>
      <c r="S18" s="55">
        <v>18</v>
      </c>
      <c r="T18" s="55">
        <v>0</v>
      </c>
      <c r="U18" s="55">
        <v>30</v>
      </c>
      <c r="V18" s="55">
        <v>0</v>
      </c>
      <c r="W18" s="55">
        <v>0</v>
      </c>
      <c r="X18" s="54">
        <v>24</v>
      </c>
    </row>
    <row r="19" spans="1:25" ht="30" customHeight="1">
      <c r="A19" s="25"/>
      <c r="B19" s="341" t="s">
        <v>62</v>
      </c>
      <c r="C19" s="341"/>
      <c r="D19" s="341"/>
      <c r="E19" s="342"/>
      <c r="F19" s="11"/>
      <c r="G19" s="24"/>
      <c r="H19" s="56">
        <f t="shared" si="2"/>
        <v>1263</v>
      </c>
      <c r="I19" s="7">
        <v>102</v>
      </c>
      <c r="J19" s="55">
        <v>0</v>
      </c>
      <c r="K19" s="55">
        <v>0</v>
      </c>
      <c r="L19" s="55">
        <v>107</v>
      </c>
      <c r="M19" s="55">
        <v>196</v>
      </c>
      <c r="N19" s="55">
        <v>298</v>
      </c>
      <c r="O19" s="55">
        <v>12</v>
      </c>
      <c r="P19" s="55">
        <v>0</v>
      </c>
      <c r="Q19" s="55">
        <v>382</v>
      </c>
      <c r="R19" s="55">
        <v>5</v>
      </c>
      <c r="S19" s="55">
        <v>6</v>
      </c>
      <c r="T19" s="55">
        <v>0</v>
      </c>
      <c r="U19" s="55">
        <v>27</v>
      </c>
      <c r="V19" s="55">
        <v>7</v>
      </c>
      <c r="W19" s="55">
        <v>0</v>
      </c>
      <c r="X19" s="54">
        <v>121</v>
      </c>
    </row>
    <row r="20" spans="1:25" ht="30" customHeight="1">
      <c r="A20" s="25"/>
      <c r="B20" s="341" t="s">
        <v>61</v>
      </c>
      <c r="C20" s="341"/>
      <c r="D20" s="341"/>
      <c r="E20" s="342"/>
      <c r="F20" s="11"/>
      <c r="G20" s="24"/>
      <c r="H20" s="56">
        <f t="shared" si="2"/>
        <v>725</v>
      </c>
      <c r="I20" s="7">
        <v>9</v>
      </c>
      <c r="J20" s="55">
        <v>0</v>
      </c>
      <c r="K20" s="55">
        <v>0</v>
      </c>
      <c r="L20" s="55">
        <v>66</v>
      </c>
      <c r="M20" s="55">
        <v>268</v>
      </c>
      <c r="N20" s="55">
        <v>86</v>
      </c>
      <c r="O20" s="55">
        <v>20</v>
      </c>
      <c r="P20" s="55">
        <v>0</v>
      </c>
      <c r="Q20" s="55">
        <v>138</v>
      </c>
      <c r="R20" s="55">
        <v>5</v>
      </c>
      <c r="S20" s="55">
        <v>19</v>
      </c>
      <c r="T20" s="55">
        <v>0</v>
      </c>
      <c r="U20" s="55">
        <v>34</v>
      </c>
      <c r="V20" s="55">
        <v>1</v>
      </c>
      <c r="W20" s="55">
        <v>0</v>
      </c>
      <c r="X20" s="54">
        <v>79</v>
      </c>
    </row>
    <row r="21" spans="1:25" ht="30" customHeight="1" thickBot="1">
      <c r="A21" s="19"/>
      <c r="B21" s="343" t="s">
        <v>60</v>
      </c>
      <c r="C21" s="343"/>
      <c r="D21" s="343"/>
      <c r="E21" s="343"/>
      <c r="F21" s="53"/>
      <c r="G21" s="18"/>
      <c r="H21" s="26">
        <f t="shared" si="2"/>
        <v>1611</v>
      </c>
      <c r="I21" s="52">
        <v>47</v>
      </c>
      <c r="J21" s="51">
        <v>0</v>
      </c>
      <c r="K21" s="51">
        <v>126</v>
      </c>
      <c r="L21" s="51">
        <v>180</v>
      </c>
      <c r="M21" s="51">
        <v>579</v>
      </c>
      <c r="N21" s="51">
        <v>110</v>
      </c>
      <c r="O21" s="51">
        <v>65</v>
      </c>
      <c r="P21" s="51">
        <v>1</v>
      </c>
      <c r="Q21" s="51">
        <v>392</v>
      </c>
      <c r="R21" s="51">
        <v>2</v>
      </c>
      <c r="S21" s="51">
        <v>35</v>
      </c>
      <c r="T21" s="51">
        <v>0</v>
      </c>
      <c r="U21" s="51">
        <v>51</v>
      </c>
      <c r="V21" s="51">
        <v>9</v>
      </c>
      <c r="W21" s="51">
        <v>0</v>
      </c>
      <c r="X21" s="50">
        <v>14</v>
      </c>
    </row>
    <row r="22" spans="1:25" ht="18" customHeight="1" thickBot="1">
      <c r="A22" s="65"/>
      <c r="B22" s="64"/>
      <c r="C22" s="64"/>
      <c r="D22" s="64"/>
      <c r="E22" s="63"/>
      <c r="F22" s="48"/>
      <c r="G22" s="47"/>
      <c r="H22" s="46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</row>
    <row r="23" spans="1:25" s="6" customFormat="1" ht="9.6" customHeight="1">
      <c r="A23" s="323" t="s">
        <v>59</v>
      </c>
      <c r="B23" s="324"/>
      <c r="C23" s="324"/>
      <c r="D23" s="324"/>
      <c r="E23" s="324"/>
      <c r="F23" s="324"/>
      <c r="G23" s="325"/>
      <c r="H23" s="44"/>
      <c r="I23" s="61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60"/>
      <c r="Y23" s="5"/>
    </row>
    <row r="24" spans="1:25" s="6" customFormat="1" ht="54.6" customHeight="1">
      <c r="A24" s="326"/>
      <c r="B24" s="327"/>
      <c r="C24" s="327"/>
      <c r="D24" s="327"/>
      <c r="E24" s="327"/>
      <c r="F24" s="327"/>
      <c r="G24" s="328"/>
      <c r="H24" s="40" t="s">
        <v>16</v>
      </c>
      <c r="I24" s="39" t="s">
        <v>15</v>
      </c>
      <c r="J24" s="3" t="s">
        <v>14</v>
      </c>
      <c r="K24" s="3" t="s">
        <v>13</v>
      </c>
      <c r="L24" s="3" t="s">
        <v>12</v>
      </c>
      <c r="M24" s="3" t="s">
        <v>11</v>
      </c>
      <c r="N24" s="3" t="s">
        <v>10</v>
      </c>
      <c r="O24" s="3" t="s">
        <v>9</v>
      </c>
      <c r="P24" s="3" t="s">
        <v>8</v>
      </c>
      <c r="Q24" s="3" t="s">
        <v>7</v>
      </c>
      <c r="R24" s="3" t="s">
        <v>6</v>
      </c>
      <c r="S24" s="4" t="s">
        <v>5</v>
      </c>
      <c r="T24" s="3" t="s">
        <v>4</v>
      </c>
      <c r="U24" s="3" t="s">
        <v>3</v>
      </c>
      <c r="V24" s="3" t="s">
        <v>2</v>
      </c>
      <c r="W24" s="3" t="s">
        <v>1</v>
      </c>
      <c r="X24" s="38" t="s">
        <v>0</v>
      </c>
      <c r="Y24" s="5"/>
    </row>
    <row r="25" spans="1:25" s="6" customFormat="1" ht="9.6" customHeight="1" thickBot="1">
      <c r="A25" s="329"/>
      <c r="B25" s="330"/>
      <c r="C25" s="330"/>
      <c r="D25" s="330"/>
      <c r="E25" s="330"/>
      <c r="F25" s="330"/>
      <c r="G25" s="331"/>
      <c r="H25" s="37"/>
      <c r="I25" s="36"/>
      <c r="J25" s="1"/>
      <c r="K25" s="1"/>
      <c r="L25" s="1"/>
      <c r="M25" s="1"/>
      <c r="N25" s="1"/>
      <c r="O25" s="1"/>
      <c r="P25" s="1"/>
      <c r="Q25" s="1"/>
      <c r="R25" s="1"/>
      <c r="S25" s="2"/>
      <c r="T25" s="1"/>
      <c r="U25" s="1"/>
      <c r="V25" s="1"/>
      <c r="W25" s="1"/>
      <c r="X25" s="35"/>
      <c r="Y25" s="5"/>
    </row>
    <row r="26" spans="1:25" s="6" customFormat="1" ht="14.25" customHeight="1">
      <c r="A26" s="34"/>
      <c r="B26" s="344"/>
      <c r="C26" s="345"/>
      <c r="D26" s="345"/>
      <c r="E26" s="345"/>
      <c r="F26" s="345"/>
      <c r="G26" s="33"/>
      <c r="H26" s="32" t="s">
        <v>34</v>
      </c>
      <c r="I26" s="31" t="s">
        <v>34</v>
      </c>
      <c r="J26" s="30" t="s">
        <v>34</v>
      </c>
      <c r="K26" s="30" t="s">
        <v>34</v>
      </c>
      <c r="L26" s="30" t="s">
        <v>34</v>
      </c>
      <c r="M26" s="30" t="s">
        <v>34</v>
      </c>
      <c r="N26" s="30" t="s">
        <v>34</v>
      </c>
      <c r="O26" s="30" t="s">
        <v>34</v>
      </c>
      <c r="P26" s="30" t="s">
        <v>34</v>
      </c>
      <c r="Q26" s="30" t="s">
        <v>34</v>
      </c>
      <c r="R26" s="30" t="s">
        <v>34</v>
      </c>
      <c r="S26" s="30" t="s">
        <v>34</v>
      </c>
      <c r="T26" s="30" t="s">
        <v>34</v>
      </c>
      <c r="U26" s="30" t="s">
        <v>34</v>
      </c>
      <c r="V26" s="30" t="s">
        <v>34</v>
      </c>
      <c r="W26" s="30" t="s">
        <v>34</v>
      </c>
      <c r="X26" s="29" t="s">
        <v>34</v>
      </c>
      <c r="Y26" s="5"/>
    </row>
    <row r="27" spans="1:25" ht="17.45" customHeight="1">
      <c r="A27" s="25"/>
      <c r="B27" s="337" t="s">
        <v>58</v>
      </c>
      <c r="C27" s="337"/>
      <c r="D27" s="337"/>
      <c r="E27" s="338"/>
      <c r="F27" s="57" t="s">
        <v>39</v>
      </c>
      <c r="G27" s="24"/>
      <c r="H27" s="56">
        <v>3852</v>
      </c>
      <c r="I27" s="86">
        <v>15</v>
      </c>
      <c r="J27" s="55">
        <v>19</v>
      </c>
      <c r="K27" s="55">
        <v>272</v>
      </c>
      <c r="L27" s="55">
        <v>111</v>
      </c>
      <c r="M27" s="55">
        <v>2788</v>
      </c>
      <c r="N27" s="55">
        <v>4</v>
      </c>
      <c r="O27" s="55">
        <v>116</v>
      </c>
      <c r="P27" s="55">
        <v>57</v>
      </c>
      <c r="Q27" s="55">
        <v>207</v>
      </c>
      <c r="R27" s="55">
        <v>6</v>
      </c>
      <c r="S27" s="55">
        <v>15</v>
      </c>
      <c r="T27" s="55">
        <v>0</v>
      </c>
      <c r="U27" s="55">
        <v>1</v>
      </c>
      <c r="V27" s="55">
        <v>0</v>
      </c>
      <c r="W27" s="55">
        <v>0</v>
      </c>
      <c r="X27" s="59">
        <v>241</v>
      </c>
    </row>
    <row r="28" spans="1:25" ht="17.45" customHeight="1">
      <c r="A28" s="25"/>
      <c r="B28" s="337" t="s">
        <v>57</v>
      </c>
      <c r="C28" s="337"/>
      <c r="D28" s="337"/>
      <c r="E28" s="337"/>
      <c r="F28" s="57" t="s">
        <v>37</v>
      </c>
      <c r="G28" s="24"/>
      <c r="H28" s="56">
        <v>848</v>
      </c>
      <c r="I28" s="86">
        <v>10</v>
      </c>
      <c r="J28" s="55">
        <v>4</v>
      </c>
      <c r="K28" s="55">
        <v>91</v>
      </c>
      <c r="L28" s="55">
        <v>25</v>
      </c>
      <c r="M28" s="55">
        <v>350</v>
      </c>
      <c r="N28" s="55">
        <v>3</v>
      </c>
      <c r="O28" s="55">
        <v>76</v>
      </c>
      <c r="P28" s="55">
        <v>6</v>
      </c>
      <c r="Q28" s="55">
        <v>71</v>
      </c>
      <c r="R28" s="55">
        <v>3</v>
      </c>
      <c r="S28" s="55">
        <v>12</v>
      </c>
      <c r="T28" s="55">
        <v>0</v>
      </c>
      <c r="U28" s="55">
        <v>1</v>
      </c>
      <c r="V28" s="55">
        <v>0</v>
      </c>
      <c r="W28" s="55">
        <v>0</v>
      </c>
      <c r="X28" s="59">
        <v>196</v>
      </c>
    </row>
    <row r="29" spans="1:25" ht="17.45" customHeight="1">
      <c r="A29" s="25"/>
      <c r="B29" s="337" t="s">
        <v>56</v>
      </c>
      <c r="C29" s="338"/>
      <c r="D29" s="338"/>
      <c r="E29" s="338"/>
      <c r="F29" s="57" t="s">
        <v>39</v>
      </c>
      <c r="G29" s="24"/>
      <c r="H29" s="56">
        <v>2710</v>
      </c>
      <c r="I29" s="86">
        <v>110</v>
      </c>
      <c r="J29" s="55">
        <v>6</v>
      </c>
      <c r="K29" s="55">
        <v>592</v>
      </c>
      <c r="L29" s="55">
        <v>356</v>
      </c>
      <c r="M29" s="55">
        <v>1117</v>
      </c>
      <c r="N29" s="55">
        <v>0</v>
      </c>
      <c r="O29" s="55">
        <v>115</v>
      </c>
      <c r="P29" s="55">
        <v>48</v>
      </c>
      <c r="Q29" s="55">
        <v>64</v>
      </c>
      <c r="R29" s="55">
        <v>98</v>
      </c>
      <c r="S29" s="55">
        <v>64</v>
      </c>
      <c r="T29" s="55">
        <v>0</v>
      </c>
      <c r="U29" s="55">
        <v>1</v>
      </c>
      <c r="V29" s="55">
        <v>0</v>
      </c>
      <c r="W29" s="55">
        <v>0</v>
      </c>
      <c r="X29" s="59">
        <v>139</v>
      </c>
    </row>
    <row r="30" spans="1:25" ht="17.45" customHeight="1">
      <c r="A30" s="25"/>
      <c r="B30" s="346" t="s">
        <v>17</v>
      </c>
      <c r="C30" s="347"/>
      <c r="D30" s="347"/>
      <c r="E30" s="347"/>
      <c r="F30" s="57" t="s">
        <v>50</v>
      </c>
      <c r="G30" s="24"/>
      <c r="H30" s="56">
        <v>2710</v>
      </c>
      <c r="I30" s="86">
        <v>110</v>
      </c>
      <c r="J30" s="55">
        <v>6</v>
      </c>
      <c r="K30" s="55">
        <v>592</v>
      </c>
      <c r="L30" s="55">
        <v>356</v>
      </c>
      <c r="M30" s="55">
        <v>1117</v>
      </c>
      <c r="N30" s="55">
        <v>0</v>
      </c>
      <c r="O30" s="55">
        <v>115</v>
      </c>
      <c r="P30" s="55">
        <v>48</v>
      </c>
      <c r="Q30" s="55">
        <v>64</v>
      </c>
      <c r="R30" s="55">
        <v>98</v>
      </c>
      <c r="S30" s="55">
        <v>64</v>
      </c>
      <c r="T30" s="55">
        <v>0</v>
      </c>
      <c r="U30" s="55">
        <v>1</v>
      </c>
      <c r="V30" s="55">
        <v>0</v>
      </c>
      <c r="W30" s="55">
        <v>0</v>
      </c>
      <c r="X30" s="59">
        <v>139</v>
      </c>
    </row>
    <row r="31" spans="1:25" ht="17.45" customHeight="1">
      <c r="A31" s="25"/>
      <c r="B31" s="337" t="s">
        <v>55</v>
      </c>
      <c r="C31" s="338"/>
      <c r="D31" s="338"/>
      <c r="E31" s="338"/>
      <c r="F31" s="57" t="s">
        <v>54</v>
      </c>
      <c r="G31" s="24"/>
      <c r="H31" s="56">
        <f t="shared" ref="H31:H54" si="3">SUM(I31:X31)</f>
        <v>2935</v>
      </c>
      <c r="I31" s="86">
        <f t="shared" ref="I31:X31" si="4">SUM(I33,I35,I37,I39,I41,I43,I45,I47,I49,I51,I53)</f>
        <v>203</v>
      </c>
      <c r="J31" s="58">
        <f t="shared" si="4"/>
        <v>5</v>
      </c>
      <c r="K31" s="58">
        <f t="shared" si="4"/>
        <v>737</v>
      </c>
      <c r="L31" s="58">
        <f t="shared" si="4"/>
        <v>650</v>
      </c>
      <c r="M31" s="58">
        <f t="shared" si="4"/>
        <v>608</v>
      </c>
      <c r="N31" s="58">
        <f t="shared" si="4"/>
        <v>8</v>
      </c>
      <c r="O31" s="58">
        <f t="shared" si="4"/>
        <v>1</v>
      </c>
      <c r="P31" s="58">
        <f t="shared" si="4"/>
        <v>1</v>
      </c>
      <c r="Q31" s="58">
        <f t="shared" si="4"/>
        <v>40</v>
      </c>
      <c r="R31" s="58">
        <f t="shared" si="4"/>
        <v>124</v>
      </c>
      <c r="S31" s="58">
        <f t="shared" si="4"/>
        <v>88</v>
      </c>
      <c r="T31" s="58">
        <f t="shared" si="4"/>
        <v>0</v>
      </c>
      <c r="U31" s="58">
        <f t="shared" si="4"/>
        <v>0</v>
      </c>
      <c r="V31" s="58">
        <f t="shared" si="4"/>
        <v>0</v>
      </c>
      <c r="W31" s="58">
        <f t="shared" si="4"/>
        <v>1</v>
      </c>
      <c r="X31" s="54">
        <f t="shared" si="4"/>
        <v>469</v>
      </c>
    </row>
    <row r="32" spans="1:25" ht="17.45" customHeight="1">
      <c r="A32" s="25"/>
      <c r="B32" s="346" t="s">
        <v>17</v>
      </c>
      <c r="C32" s="347"/>
      <c r="D32" s="347"/>
      <c r="E32" s="347"/>
      <c r="F32" s="57" t="s">
        <v>53</v>
      </c>
      <c r="G32" s="24"/>
      <c r="H32" s="56">
        <f t="shared" si="3"/>
        <v>2930</v>
      </c>
      <c r="I32" s="86">
        <f t="shared" ref="I32:X32" si="5">SUM(I34,I36,I38,I40,I42,I44,I46,I48,I50,I52,I54)</f>
        <v>203</v>
      </c>
      <c r="J32" s="55">
        <f t="shared" si="5"/>
        <v>5</v>
      </c>
      <c r="K32" s="55">
        <f t="shared" si="5"/>
        <v>737</v>
      </c>
      <c r="L32" s="55">
        <f t="shared" si="5"/>
        <v>646</v>
      </c>
      <c r="M32" s="55">
        <f t="shared" si="5"/>
        <v>608</v>
      </c>
      <c r="N32" s="55">
        <f t="shared" si="5"/>
        <v>8</v>
      </c>
      <c r="O32" s="55">
        <f t="shared" si="5"/>
        <v>1</v>
      </c>
      <c r="P32" s="55">
        <f t="shared" si="5"/>
        <v>1</v>
      </c>
      <c r="Q32" s="55">
        <f t="shared" si="5"/>
        <v>40</v>
      </c>
      <c r="R32" s="55">
        <f t="shared" si="5"/>
        <v>124</v>
      </c>
      <c r="S32" s="55">
        <f t="shared" si="5"/>
        <v>88</v>
      </c>
      <c r="T32" s="55">
        <f t="shared" si="5"/>
        <v>0</v>
      </c>
      <c r="U32" s="55">
        <f t="shared" si="5"/>
        <v>0</v>
      </c>
      <c r="V32" s="55">
        <f t="shared" si="5"/>
        <v>0</v>
      </c>
      <c r="W32" s="55">
        <f t="shared" si="5"/>
        <v>1</v>
      </c>
      <c r="X32" s="54">
        <f t="shared" si="5"/>
        <v>468</v>
      </c>
    </row>
    <row r="33" spans="1:24" ht="17.45" customHeight="1">
      <c r="A33" s="25"/>
      <c r="B33" s="339" t="s">
        <v>52</v>
      </c>
      <c r="C33" s="339"/>
      <c r="D33" s="339"/>
      <c r="E33" s="340"/>
      <c r="F33" s="11" t="s">
        <v>39</v>
      </c>
      <c r="G33" s="24"/>
      <c r="H33" s="56">
        <f t="shared" si="3"/>
        <v>270</v>
      </c>
      <c r="I33" s="86">
        <v>11</v>
      </c>
      <c r="J33" s="55">
        <v>1</v>
      </c>
      <c r="K33" s="55">
        <v>115</v>
      </c>
      <c r="L33" s="55">
        <v>47</v>
      </c>
      <c r="M33" s="55">
        <v>42</v>
      </c>
      <c r="N33" s="55">
        <v>3</v>
      </c>
      <c r="O33" s="55">
        <v>0</v>
      </c>
      <c r="P33" s="55">
        <v>0</v>
      </c>
      <c r="Q33" s="55">
        <v>5</v>
      </c>
      <c r="R33" s="55">
        <v>4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  <c r="X33" s="54">
        <v>42</v>
      </c>
    </row>
    <row r="34" spans="1:24" ht="17.45" customHeight="1">
      <c r="A34" s="25"/>
      <c r="B34" s="341" t="s">
        <v>51</v>
      </c>
      <c r="C34" s="342"/>
      <c r="D34" s="342"/>
      <c r="E34" s="342"/>
      <c r="F34" s="11" t="s">
        <v>50</v>
      </c>
      <c r="G34" s="24"/>
      <c r="H34" s="56">
        <f t="shared" si="3"/>
        <v>266</v>
      </c>
      <c r="I34" s="86">
        <v>11</v>
      </c>
      <c r="J34" s="55">
        <v>1</v>
      </c>
      <c r="K34" s="55">
        <v>115</v>
      </c>
      <c r="L34" s="55">
        <v>43</v>
      </c>
      <c r="M34" s="55">
        <v>42</v>
      </c>
      <c r="N34" s="55">
        <v>3</v>
      </c>
      <c r="O34" s="55">
        <v>0</v>
      </c>
      <c r="P34" s="55">
        <v>0</v>
      </c>
      <c r="Q34" s="55">
        <v>5</v>
      </c>
      <c r="R34" s="55">
        <v>4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4">
        <v>42</v>
      </c>
    </row>
    <row r="35" spans="1:24" ht="17.45" customHeight="1">
      <c r="A35" s="25"/>
      <c r="B35" s="341" t="s">
        <v>49</v>
      </c>
      <c r="C35" s="341"/>
      <c r="D35" s="341"/>
      <c r="E35" s="342"/>
      <c r="F35" s="11" t="s">
        <v>39</v>
      </c>
      <c r="G35" s="24"/>
      <c r="H35" s="56">
        <f t="shared" si="3"/>
        <v>170</v>
      </c>
      <c r="I35" s="86">
        <v>3</v>
      </c>
      <c r="J35" s="55">
        <v>2</v>
      </c>
      <c r="K35" s="55">
        <v>44</v>
      </c>
      <c r="L35" s="55">
        <v>50</v>
      </c>
      <c r="M35" s="55">
        <v>22</v>
      </c>
      <c r="N35" s="55">
        <v>0</v>
      </c>
      <c r="O35" s="55">
        <v>0</v>
      </c>
      <c r="P35" s="55">
        <v>0</v>
      </c>
      <c r="Q35" s="55">
        <v>15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4">
        <v>34</v>
      </c>
    </row>
    <row r="36" spans="1:24" ht="17.45" customHeight="1">
      <c r="A36" s="25"/>
      <c r="B36" s="341" t="s">
        <v>38</v>
      </c>
      <c r="C36" s="341"/>
      <c r="D36" s="341"/>
      <c r="E36" s="342"/>
      <c r="F36" s="11" t="s">
        <v>37</v>
      </c>
      <c r="G36" s="24"/>
      <c r="H36" s="56">
        <f t="shared" si="3"/>
        <v>170</v>
      </c>
      <c r="I36" s="86">
        <v>3</v>
      </c>
      <c r="J36" s="55">
        <v>2</v>
      </c>
      <c r="K36" s="55">
        <v>44</v>
      </c>
      <c r="L36" s="55">
        <v>50</v>
      </c>
      <c r="M36" s="55">
        <v>22</v>
      </c>
      <c r="N36" s="55">
        <v>0</v>
      </c>
      <c r="O36" s="55">
        <v>0</v>
      </c>
      <c r="P36" s="55">
        <v>0</v>
      </c>
      <c r="Q36" s="55">
        <v>15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4">
        <v>34</v>
      </c>
    </row>
    <row r="37" spans="1:24" ht="17.45" customHeight="1">
      <c r="A37" s="25"/>
      <c r="B37" s="341" t="s">
        <v>48</v>
      </c>
      <c r="C37" s="341"/>
      <c r="D37" s="341"/>
      <c r="E37" s="342"/>
      <c r="F37" s="11" t="s">
        <v>39</v>
      </c>
      <c r="G37" s="24"/>
      <c r="H37" s="56">
        <f t="shared" si="3"/>
        <v>430</v>
      </c>
      <c r="I37" s="86">
        <v>39</v>
      </c>
      <c r="J37" s="55">
        <v>0</v>
      </c>
      <c r="K37" s="55">
        <v>86</v>
      </c>
      <c r="L37" s="55">
        <v>88</v>
      </c>
      <c r="M37" s="55">
        <v>163</v>
      </c>
      <c r="N37" s="55">
        <v>0</v>
      </c>
      <c r="O37" s="55">
        <v>1</v>
      </c>
      <c r="P37" s="55">
        <v>0</v>
      </c>
      <c r="Q37" s="55">
        <v>2</v>
      </c>
      <c r="R37" s="55">
        <v>13</v>
      </c>
      <c r="S37" s="55">
        <v>3</v>
      </c>
      <c r="T37" s="55">
        <v>0</v>
      </c>
      <c r="U37" s="55">
        <v>0</v>
      </c>
      <c r="V37" s="55">
        <v>0</v>
      </c>
      <c r="W37" s="55">
        <v>0</v>
      </c>
      <c r="X37" s="54">
        <v>35</v>
      </c>
    </row>
    <row r="38" spans="1:24" ht="17.45" customHeight="1">
      <c r="A38" s="25"/>
      <c r="B38" s="341" t="s">
        <v>38</v>
      </c>
      <c r="C38" s="341"/>
      <c r="D38" s="341"/>
      <c r="E38" s="342"/>
      <c r="F38" s="11" t="s">
        <v>37</v>
      </c>
      <c r="G38" s="24"/>
      <c r="H38" s="56">
        <f t="shared" si="3"/>
        <v>429</v>
      </c>
      <c r="I38" s="86">
        <v>39</v>
      </c>
      <c r="J38" s="55">
        <v>0</v>
      </c>
      <c r="K38" s="55">
        <v>86</v>
      </c>
      <c r="L38" s="55">
        <v>88</v>
      </c>
      <c r="M38" s="55">
        <v>163</v>
      </c>
      <c r="N38" s="55">
        <v>0</v>
      </c>
      <c r="O38" s="55">
        <v>1</v>
      </c>
      <c r="P38" s="55">
        <v>0</v>
      </c>
      <c r="Q38" s="55">
        <v>2</v>
      </c>
      <c r="R38" s="55">
        <v>13</v>
      </c>
      <c r="S38" s="55">
        <v>3</v>
      </c>
      <c r="T38" s="55">
        <v>0</v>
      </c>
      <c r="U38" s="55">
        <v>0</v>
      </c>
      <c r="V38" s="55">
        <v>0</v>
      </c>
      <c r="W38" s="55">
        <v>0</v>
      </c>
      <c r="X38" s="54">
        <v>34</v>
      </c>
    </row>
    <row r="39" spans="1:24" ht="17.45" customHeight="1">
      <c r="A39" s="25"/>
      <c r="B39" s="341" t="s">
        <v>47</v>
      </c>
      <c r="C39" s="341"/>
      <c r="D39" s="341"/>
      <c r="E39" s="342"/>
      <c r="F39" s="11" t="s">
        <v>39</v>
      </c>
      <c r="G39" s="24"/>
      <c r="H39" s="56">
        <f t="shared" si="3"/>
        <v>197</v>
      </c>
      <c r="I39" s="86">
        <v>27</v>
      </c>
      <c r="J39" s="55">
        <v>0</v>
      </c>
      <c r="K39" s="55">
        <v>31</v>
      </c>
      <c r="L39" s="55">
        <v>59</v>
      </c>
      <c r="M39" s="55">
        <v>10</v>
      </c>
      <c r="N39" s="55">
        <v>1</v>
      </c>
      <c r="O39" s="55">
        <v>0</v>
      </c>
      <c r="P39" s="55">
        <v>0</v>
      </c>
      <c r="Q39" s="55">
        <v>0</v>
      </c>
      <c r="R39" s="55">
        <v>26</v>
      </c>
      <c r="S39" s="55">
        <v>7</v>
      </c>
      <c r="T39" s="55">
        <v>0</v>
      </c>
      <c r="U39" s="55">
        <v>0</v>
      </c>
      <c r="V39" s="55">
        <v>0</v>
      </c>
      <c r="W39" s="55">
        <v>0</v>
      </c>
      <c r="X39" s="54">
        <v>36</v>
      </c>
    </row>
    <row r="40" spans="1:24" ht="17.45" customHeight="1">
      <c r="A40" s="25"/>
      <c r="B40" s="341" t="s">
        <v>38</v>
      </c>
      <c r="C40" s="341"/>
      <c r="D40" s="341"/>
      <c r="E40" s="342"/>
      <c r="F40" s="11" t="s">
        <v>37</v>
      </c>
      <c r="G40" s="24"/>
      <c r="H40" s="56">
        <f t="shared" si="3"/>
        <v>197</v>
      </c>
      <c r="I40" s="86">
        <v>27</v>
      </c>
      <c r="J40" s="55">
        <v>0</v>
      </c>
      <c r="K40" s="55">
        <v>31</v>
      </c>
      <c r="L40" s="55">
        <v>59</v>
      </c>
      <c r="M40" s="55">
        <v>10</v>
      </c>
      <c r="N40" s="55">
        <v>1</v>
      </c>
      <c r="O40" s="55">
        <v>0</v>
      </c>
      <c r="P40" s="55">
        <v>0</v>
      </c>
      <c r="Q40" s="55">
        <v>0</v>
      </c>
      <c r="R40" s="55">
        <v>26</v>
      </c>
      <c r="S40" s="55">
        <v>7</v>
      </c>
      <c r="T40" s="55">
        <v>0</v>
      </c>
      <c r="U40" s="55">
        <v>0</v>
      </c>
      <c r="V40" s="55">
        <v>0</v>
      </c>
      <c r="W40" s="55">
        <v>0</v>
      </c>
      <c r="X40" s="54">
        <v>36</v>
      </c>
    </row>
    <row r="41" spans="1:24" ht="17.45" customHeight="1">
      <c r="A41" s="25"/>
      <c r="B41" s="341" t="s">
        <v>46</v>
      </c>
      <c r="C41" s="341"/>
      <c r="D41" s="341"/>
      <c r="E41" s="342"/>
      <c r="F41" s="11" t="s">
        <v>39</v>
      </c>
      <c r="G41" s="24"/>
      <c r="H41" s="56">
        <f t="shared" si="3"/>
        <v>259</v>
      </c>
      <c r="I41" s="86">
        <v>34</v>
      </c>
      <c r="J41" s="55">
        <v>0</v>
      </c>
      <c r="K41" s="55">
        <v>22</v>
      </c>
      <c r="L41" s="55">
        <v>73</v>
      </c>
      <c r="M41" s="55">
        <v>41</v>
      </c>
      <c r="N41" s="55">
        <v>0</v>
      </c>
      <c r="O41" s="55">
        <v>0</v>
      </c>
      <c r="P41" s="55">
        <v>0</v>
      </c>
      <c r="Q41" s="55">
        <v>0</v>
      </c>
      <c r="R41" s="55">
        <v>42</v>
      </c>
      <c r="S41" s="55">
        <v>4</v>
      </c>
      <c r="T41" s="55">
        <v>0</v>
      </c>
      <c r="U41" s="55">
        <v>0</v>
      </c>
      <c r="V41" s="55">
        <v>0</v>
      </c>
      <c r="W41" s="55">
        <v>0</v>
      </c>
      <c r="X41" s="54">
        <v>43</v>
      </c>
    </row>
    <row r="42" spans="1:24" ht="17.45" customHeight="1">
      <c r="A42" s="25"/>
      <c r="B42" s="341" t="s">
        <v>38</v>
      </c>
      <c r="C42" s="341"/>
      <c r="D42" s="341"/>
      <c r="E42" s="342"/>
      <c r="F42" s="11" t="s">
        <v>37</v>
      </c>
      <c r="G42" s="24"/>
      <c r="H42" s="56">
        <f t="shared" si="3"/>
        <v>259</v>
      </c>
      <c r="I42" s="86">
        <v>34</v>
      </c>
      <c r="J42" s="55">
        <v>0</v>
      </c>
      <c r="K42" s="55">
        <v>22</v>
      </c>
      <c r="L42" s="55">
        <v>73</v>
      </c>
      <c r="M42" s="55">
        <v>41</v>
      </c>
      <c r="N42" s="55">
        <v>0</v>
      </c>
      <c r="O42" s="55">
        <v>0</v>
      </c>
      <c r="P42" s="55">
        <v>0</v>
      </c>
      <c r="Q42" s="55">
        <v>0</v>
      </c>
      <c r="R42" s="55">
        <v>42</v>
      </c>
      <c r="S42" s="55">
        <v>4</v>
      </c>
      <c r="T42" s="55">
        <v>0</v>
      </c>
      <c r="U42" s="55">
        <v>0</v>
      </c>
      <c r="V42" s="55">
        <v>0</v>
      </c>
      <c r="W42" s="55">
        <v>0</v>
      </c>
      <c r="X42" s="54">
        <v>43</v>
      </c>
    </row>
    <row r="43" spans="1:24" ht="17.45" customHeight="1">
      <c r="A43" s="25"/>
      <c r="B43" s="341" t="s">
        <v>45</v>
      </c>
      <c r="C43" s="341"/>
      <c r="D43" s="341"/>
      <c r="E43" s="342"/>
      <c r="F43" s="11" t="s">
        <v>39</v>
      </c>
      <c r="G43" s="24"/>
      <c r="H43" s="56">
        <f t="shared" si="3"/>
        <v>162</v>
      </c>
      <c r="I43" s="86">
        <v>15</v>
      </c>
      <c r="J43" s="55">
        <v>0</v>
      </c>
      <c r="K43" s="55">
        <v>5</v>
      </c>
      <c r="L43" s="55">
        <v>37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29</v>
      </c>
      <c r="S43" s="55">
        <v>22</v>
      </c>
      <c r="T43" s="55">
        <v>0</v>
      </c>
      <c r="U43" s="55">
        <v>0</v>
      </c>
      <c r="V43" s="55">
        <v>0</v>
      </c>
      <c r="W43" s="55">
        <v>1</v>
      </c>
      <c r="X43" s="54">
        <v>53</v>
      </c>
    </row>
    <row r="44" spans="1:24" ht="17.45" customHeight="1">
      <c r="A44" s="25"/>
      <c r="B44" s="341" t="s">
        <v>38</v>
      </c>
      <c r="C44" s="341"/>
      <c r="D44" s="341"/>
      <c r="E44" s="342"/>
      <c r="F44" s="11" t="s">
        <v>37</v>
      </c>
      <c r="G44" s="24"/>
      <c r="H44" s="56">
        <f t="shared" si="3"/>
        <v>162</v>
      </c>
      <c r="I44" s="86">
        <v>15</v>
      </c>
      <c r="J44" s="55">
        <v>0</v>
      </c>
      <c r="K44" s="55">
        <v>5</v>
      </c>
      <c r="L44" s="55">
        <v>37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29</v>
      </c>
      <c r="S44" s="55">
        <v>22</v>
      </c>
      <c r="T44" s="55">
        <v>0</v>
      </c>
      <c r="U44" s="55">
        <v>0</v>
      </c>
      <c r="V44" s="55">
        <v>0</v>
      </c>
      <c r="W44" s="55">
        <v>1</v>
      </c>
      <c r="X44" s="54">
        <v>53</v>
      </c>
    </row>
    <row r="45" spans="1:24" ht="17.45" customHeight="1">
      <c r="A45" s="25"/>
      <c r="B45" s="341" t="s">
        <v>44</v>
      </c>
      <c r="C45" s="341"/>
      <c r="D45" s="341"/>
      <c r="E45" s="342"/>
      <c r="F45" s="11" t="s">
        <v>39</v>
      </c>
      <c r="G45" s="24"/>
      <c r="H45" s="56">
        <f t="shared" si="3"/>
        <v>354</v>
      </c>
      <c r="I45" s="86">
        <v>46</v>
      </c>
      <c r="J45" s="55">
        <v>1</v>
      </c>
      <c r="K45" s="55">
        <v>109</v>
      </c>
      <c r="L45" s="55">
        <v>75</v>
      </c>
      <c r="M45" s="55">
        <v>54</v>
      </c>
      <c r="N45" s="55">
        <v>4</v>
      </c>
      <c r="O45" s="55">
        <v>0</v>
      </c>
      <c r="P45" s="55">
        <v>1</v>
      </c>
      <c r="Q45" s="55">
        <v>7</v>
      </c>
      <c r="R45" s="55">
        <v>10</v>
      </c>
      <c r="S45" s="55">
        <v>10</v>
      </c>
      <c r="T45" s="55">
        <v>0</v>
      </c>
      <c r="U45" s="55">
        <v>0</v>
      </c>
      <c r="V45" s="55">
        <v>0</v>
      </c>
      <c r="W45" s="55">
        <v>0</v>
      </c>
      <c r="X45" s="54">
        <v>37</v>
      </c>
    </row>
    <row r="46" spans="1:24" ht="17.45" customHeight="1">
      <c r="A46" s="25"/>
      <c r="B46" s="341" t="s">
        <v>38</v>
      </c>
      <c r="C46" s="341"/>
      <c r="D46" s="341"/>
      <c r="E46" s="342"/>
      <c r="F46" s="11" t="s">
        <v>37</v>
      </c>
      <c r="G46" s="24"/>
      <c r="H46" s="56">
        <f t="shared" si="3"/>
        <v>354</v>
      </c>
      <c r="I46" s="86">
        <v>46</v>
      </c>
      <c r="J46" s="55">
        <v>1</v>
      </c>
      <c r="K46" s="55">
        <v>109</v>
      </c>
      <c r="L46" s="55">
        <v>75</v>
      </c>
      <c r="M46" s="55">
        <v>54</v>
      </c>
      <c r="N46" s="55">
        <v>4</v>
      </c>
      <c r="O46" s="55">
        <v>0</v>
      </c>
      <c r="P46" s="55">
        <v>1</v>
      </c>
      <c r="Q46" s="55">
        <v>7</v>
      </c>
      <c r="R46" s="55">
        <v>10</v>
      </c>
      <c r="S46" s="55">
        <v>10</v>
      </c>
      <c r="T46" s="55">
        <v>0</v>
      </c>
      <c r="U46" s="55">
        <v>0</v>
      </c>
      <c r="V46" s="55">
        <v>0</v>
      </c>
      <c r="W46" s="55">
        <v>0</v>
      </c>
      <c r="X46" s="54">
        <v>37</v>
      </c>
    </row>
    <row r="47" spans="1:24" ht="17.45" customHeight="1">
      <c r="A47" s="25"/>
      <c r="B47" s="341" t="s">
        <v>43</v>
      </c>
      <c r="C47" s="341"/>
      <c r="D47" s="341"/>
      <c r="E47" s="342"/>
      <c r="F47" s="11" t="s">
        <v>39</v>
      </c>
      <c r="G47" s="24"/>
      <c r="H47" s="56">
        <f t="shared" si="3"/>
        <v>273</v>
      </c>
      <c r="I47" s="86">
        <v>11</v>
      </c>
      <c r="J47" s="55">
        <v>0</v>
      </c>
      <c r="K47" s="55">
        <v>57</v>
      </c>
      <c r="L47" s="55">
        <v>48</v>
      </c>
      <c r="M47" s="55">
        <v>119</v>
      </c>
      <c r="N47" s="55">
        <v>0</v>
      </c>
      <c r="O47" s="55">
        <v>0</v>
      </c>
      <c r="P47" s="55">
        <v>0</v>
      </c>
      <c r="Q47" s="55">
        <v>2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4">
        <v>36</v>
      </c>
    </row>
    <row r="48" spans="1:24" ht="17.45" customHeight="1">
      <c r="A48" s="25"/>
      <c r="B48" s="341" t="s">
        <v>38</v>
      </c>
      <c r="C48" s="341"/>
      <c r="D48" s="341"/>
      <c r="E48" s="342"/>
      <c r="F48" s="11" t="s">
        <v>37</v>
      </c>
      <c r="G48" s="24"/>
      <c r="H48" s="56">
        <f t="shared" si="3"/>
        <v>273</v>
      </c>
      <c r="I48" s="86">
        <v>11</v>
      </c>
      <c r="J48" s="55">
        <v>0</v>
      </c>
      <c r="K48" s="55">
        <v>57</v>
      </c>
      <c r="L48" s="55">
        <v>48</v>
      </c>
      <c r="M48" s="55">
        <v>119</v>
      </c>
      <c r="N48" s="55">
        <v>0</v>
      </c>
      <c r="O48" s="55">
        <v>0</v>
      </c>
      <c r="P48" s="55">
        <v>0</v>
      </c>
      <c r="Q48" s="55">
        <v>2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4">
        <v>36</v>
      </c>
    </row>
    <row r="49" spans="1:25" ht="17.45" customHeight="1">
      <c r="A49" s="25"/>
      <c r="B49" s="341" t="s">
        <v>42</v>
      </c>
      <c r="C49" s="341"/>
      <c r="D49" s="341"/>
      <c r="E49" s="342"/>
      <c r="F49" s="11" t="s">
        <v>39</v>
      </c>
      <c r="G49" s="24"/>
      <c r="H49" s="56">
        <f t="shared" si="3"/>
        <v>210</v>
      </c>
      <c r="I49" s="86">
        <v>8</v>
      </c>
      <c r="J49" s="55">
        <v>0</v>
      </c>
      <c r="K49" s="55">
        <v>48</v>
      </c>
      <c r="L49" s="55">
        <v>46</v>
      </c>
      <c r="M49" s="55">
        <v>65</v>
      </c>
      <c r="N49" s="55">
        <v>0</v>
      </c>
      <c r="O49" s="55">
        <v>0</v>
      </c>
      <c r="P49" s="55">
        <v>0</v>
      </c>
      <c r="Q49" s="55">
        <v>6</v>
      </c>
      <c r="R49" s="55">
        <v>0</v>
      </c>
      <c r="S49" s="55">
        <v>0</v>
      </c>
      <c r="T49" s="55">
        <v>0</v>
      </c>
      <c r="U49" s="55">
        <v>0</v>
      </c>
      <c r="V49" s="55">
        <v>0</v>
      </c>
      <c r="W49" s="55">
        <v>0</v>
      </c>
      <c r="X49" s="54">
        <v>37</v>
      </c>
    </row>
    <row r="50" spans="1:25" ht="17.45" customHeight="1">
      <c r="A50" s="25"/>
      <c r="B50" s="341" t="s">
        <v>38</v>
      </c>
      <c r="C50" s="341"/>
      <c r="D50" s="341"/>
      <c r="E50" s="342"/>
      <c r="F50" s="11" t="s">
        <v>37</v>
      </c>
      <c r="G50" s="24"/>
      <c r="H50" s="56">
        <f t="shared" si="3"/>
        <v>210</v>
      </c>
      <c r="I50" s="86">
        <v>8</v>
      </c>
      <c r="J50" s="55">
        <v>0</v>
      </c>
      <c r="K50" s="55">
        <v>48</v>
      </c>
      <c r="L50" s="55">
        <v>46</v>
      </c>
      <c r="M50" s="55">
        <v>65</v>
      </c>
      <c r="N50" s="55">
        <v>0</v>
      </c>
      <c r="O50" s="55">
        <v>0</v>
      </c>
      <c r="P50" s="55">
        <v>0</v>
      </c>
      <c r="Q50" s="55">
        <v>6</v>
      </c>
      <c r="R50" s="55">
        <v>0</v>
      </c>
      <c r="S50" s="55">
        <v>0</v>
      </c>
      <c r="T50" s="55">
        <v>0</v>
      </c>
      <c r="U50" s="55">
        <v>0</v>
      </c>
      <c r="V50" s="55">
        <v>0</v>
      </c>
      <c r="W50" s="55">
        <v>0</v>
      </c>
      <c r="X50" s="54">
        <v>37</v>
      </c>
    </row>
    <row r="51" spans="1:25" ht="17.45" customHeight="1">
      <c r="A51" s="25"/>
      <c r="B51" s="341" t="s">
        <v>41</v>
      </c>
      <c r="C51" s="341"/>
      <c r="D51" s="341"/>
      <c r="E51" s="342"/>
      <c r="F51" s="11" t="s">
        <v>39</v>
      </c>
      <c r="G51" s="24"/>
      <c r="H51" s="56">
        <f t="shared" si="3"/>
        <v>280</v>
      </c>
      <c r="I51" s="86">
        <v>5</v>
      </c>
      <c r="J51" s="55">
        <v>1</v>
      </c>
      <c r="K51" s="55">
        <v>62</v>
      </c>
      <c r="L51" s="55">
        <v>65</v>
      </c>
      <c r="M51" s="55">
        <v>29</v>
      </c>
      <c r="N51" s="55">
        <v>0</v>
      </c>
      <c r="O51" s="55">
        <v>0</v>
      </c>
      <c r="P51" s="55">
        <v>0</v>
      </c>
      <c r="Q51" s="55">
        <v>3</v>
      </c>
      <c r="R51" s="55">
        <v>0</v>
      </c>
      <c r="S51" s="55">
        <v>19</v>
      </c>
      <c r="T51" s="55">
        <v>0</v>
      </c>
      <c r="U51" s="55">
        <v>0</v>
      </c>
      <c r="V51" s="55">
        <v>0</v>
      </c>
      <c r="W51" s="55">
        <v>0</v>
      </c>
      <c r="X51" s="54">
        <v>96</v>
      </c>
    </row>
    <row r="52" spans="1:25" ht="17.45" customHeight="1">
      <c r="A52" s="25"/>
      <c r="B52" s="341" t="s">
        <v>38</v>
      </c>
      <c r="C52" s="341"/>
      <c r="D52" s="341"/>
      <c r="E52" s="342"/>
      <c r="F52" s="11" t="s">
        <v>37</v>
      </c>
      <c r="G52" s="24"/>
      <c r="H52" s="56">
        <f t="shared" si="3"/>
        <v>280</v>
      </c>
      <c r="I52" s="86">
        <v>5</v>
      </c>
      <c r="J52" s="55">
        <v>1</v>
      </c>
      <c r="K52" s="55">
        <v>62</v>
      </c>
      <c r="L52" s="55">
        <v>65</v>
      </c>
      <c r="M52" s="55">
        <v>29</v>
      </c>
      <c r="N52" s="55">
        <v>0</v>
      </c>
      <c r="O52" s="55">
        <v>0</v>
      </c>
      <c r="P52" s="55">
        <v>0</v>
      </c>
      <c r="Q52" s="55">
        <v>3</v>
      </c>
      <c r="R52" s="55">
        <v>0</v>
      </c>
      <c r="S52" s="55">
        <v>19</v>
      </c>
      <c r="T52" s="55">
        <v>0</v>
      </c>
      <c r="U52" s="55">
        <v>0</v>
      </c>
      <c r="V52" s="55">
        <v>0</v>
      </c>
      <c r="W52" s="55">
        <v>0</v>
      </c>
      <c r="X52" s="54">
        <v>96</v>
      </c>
    </row>
    <row r="53" spans="1:25" ht="17.45" customHeight="1">
      <c r="A53" s="25"/>
      <c r="B53" s="341" t="s">
        <v>40</v>
      </c>
      <c r="C53" s="341"/>
      <c r="D53" s="341"/>
      <c r="E53" s="342"/>
      <c r="F53" s="11" t="s">
        <v>39</v>
      </c>
      <c r="G53" s="24"/>
      <c r="H53" s="56">
        <f t="shared" si="3"/>
        <v>330</v>
      </c>
      <c r="I53" s="86">
        <v>4</v>
      </c>
      <c r="J53" s="55">
        <v>0</v>
      </c>
      <c r="K53" s="55">
        <v>158</v>
      </c>
      <c r="L53" s="55">
        <v>62</v>
      </c>
      <c r="M53" s="55">
        <v>63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23</v>
      </c>
      <c r="T53" s="55">
        <v>0</v>
      </c>
      <c r="U53" s="55">
        <v>0</v>
      </c>
      <c r="V53" s="55">
        <v>0</v>
      </c>
      <c r="W53" s="55">
        <v>0</v>
      </c>
      <c r="X53" s="54">
        <v>20</v>
      </c>
    </row>
    <row r="54" spans="1:25" ht="17.45" customHeight="1" thickBot="1">
      <c r="A54" s="19"/>
      <c r="B54" s="343" t="s">
        <v>38</v>
      </c>
      <c r="C54" s="343"/>
      <c r="D54" s="343"/>
      <c r="E54" s="357"/>
      <c r="F54" s="53" t="s">
        <v>37</v>
      </c>
      <c r="G54" s="18"/>
      <c r="H54" s="26">
        <f t="shared" si="3"/>
        <v>330</v>
      </c>
      <c r="I54" s="87">
        <v>4</v>
      </c>
      <c r="J54" s="51">
        <v>0</v>
      </c>
      <c r="K54" s="51">
        <v>158</v>
      </c>
      <c r="L54" s="51">
        <v>62</v>
      </c>
      <c r="M54" s="51">
        <v>63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23</v>
      </c>
      <c r="T54" s="51">
        <v>0</v>
      </c>
      <c r="U54" s="51">
        <v>0</v>
      </c>
      <c r="V54" s="51">
        <v>0</v>
      </c>
      <c r="W54" s="51">
        <v>0</v>
      </c>
      <c r="X54" s="50">
        <v>20</v>
      </c>
    </row>
    <row r="55" spans="1:25" ht="8.25" customHeight="1">
      <c r="A55" s="12"/>
      <c r="B55" s="48"/>
      <c r="C55" s="49"/>
      <c r="D55" s="49"/>
      <c r="E55" s="49"/>
      <c r="F55" s="48"/>
      <c r="G55" s="47"/>
      <c r="H55" s="46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5" s="6" customFormat="1" ht="20.25" customHeight="1" thickBot="1">
      <c r="A56" s="45"/>
      <c r="B56" s="348" t="s">
        <v>36</v>
      </c>
      <c r="C56" s="348"/>
      <c r="D56" s="348"/>
      <c r="E56" s="348"/>
      <c r="F56" s="348"/>
      <c r="G56" s="348"/>
      <c r="H56" s="348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</row>
    <row r="57" spans="1:25" s="6" customFormat="1" ht="9.75" customHeight="1">
      <c r="A57" s="323" t="s">
        <v>35</v>
      </c>
      <c r="B57" s="349"/>
      <c r="C57" s="349"/>
      <c r="D57" s="349"/>
      <c r="E57" s="349"/>
      <c r="F57" s="349"/>
      <c r="G57" s="350"/>
      <c r="H57" s="44"/>
      <c r="I57" s="43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1"/>
      <c r="Y57" s="13"/>
    </row>
    <row r="58" spans="1:25" s="6" customFormat="1" ht="54.6" customHeight="1">
      <c r="A58" s="351"/>
      <c r="B58" s="352"/>
      <c r="C58" s="352"/>
      <c r="D58" s="352"/>
      <c r="E58" s="352"/>
      <c r="F58" s="352"/>
      <c r="G58" s="353"/>
      <c r="H58" s="40" t="s">
        <v>16</v>
      </c>
      <c r="I58" s="39" t="s">
        <v>15</v>
      </c>
      <c r="J58" s="3" t="s">
        <v>14</v>
      </c>
      <c r="K58" s="3" t="s">
        <v>13</v>
      </c>
      <c r="L58" s="3" t="s">
        <v>12</v>
      </c>
      <c r="M58" s="3" t="s">
        <v>11</v>
      </c>
      <c r="N58" s="3" t="s">
        <v>10</v>
      </c>
      <c r="O58" s="3" t="s">
        <v>9</v>
      </c>
      <c r="P58" s="3" t="s">
        <v>8</v>
      </c>
      <c r="Q58" s="3" t="s">
        <v>7</v>
      </c>
      <c r="R58" s="3" t="s">
        <v>6</v>
      </c>
      <c r="S58" s="4" t="s">
        <v>5</v>
      </c>
      <c r="T58" s="3" t="s">
        <v>4</v>
      </c>
      <c r="U58" s="3" t="s">
        <v>3</v>
      </c>
      <c r="V58" s="3" t="s">
        <v>2</v>
      </c>
      <c r="W58" s="3" t="s">
        <v>1</v>
      </c>
      <c r="X58" s="38" t="s">
        <v>0</v>
      </c>
    </row>
    <row r="59" spans="1:25" s="6" customFormat="1" ht="9.6" customHeight="1" thickBot="1">
      <c r="A59" s="354"/>
      <c r="B59" s="355"/>
      <c r="C59" s="355"/>
      <c r="D59" s="355"/>
      <c r="E59" s="355"/>
      <c r="F59" s="355"/>
      <c r="G59" s="356"/>
      <c r="H59" s="37"/>
      <c r="I59" s="36"/>
      <c r="J59" s="1"/>
      <c r="K59" s="1"/>
      <c r="L59" s="1"/>
      <c r="M59" s="1"/>
      <c r="N59" s="1"/>
      <c r="O59" s="1"/>
      <c r="P59" s="1"/>
      <c r="Q59" s="1"/>
      <c r="R59" s="1"/>
      <c r="S59" s="2"/>
      <c r="T59" s="1"/>
      <c r="U59" s="1"/>
      <c r="V59" s="1"/>
      <c r="W59" s="1"/>
      <c r="X59" s="35"/>
    </row>
    <row r="60" spans="1:25" s="6" customFormat="1" ht="17.25" customHeight="1">
      <c r="A60" s="34"/>
      <c r="B60" s="332"/>
      <c r="C60" s="333"/>
      <c r="D60" s="333"/>
      <c r="E60" s="333"/>
      <c r="F60" s="333"/>
      <c r="G60" s="33"/>
      <c r="H60" s="32" t="s">
        <v>34</v>
      </c>
      <c r="I60" s="31" t="s">
        <v>34</v>
      </c>
      <c r="J60" s="30" t="s">
        <v>34</v>
      </c>
      <c r="K60" s="30" t="s">
        <v>34</v>
      </c>
      <c r="L60" s="30" t="s">
        <v>34</v>
      </c>
      <c r="M60" s="30" t="s">
        <v>34</v>
      </c>
      <c r="N60" s="30" t="s">
        <v>34</v>
      </c>
      <c r="O60" s="30" t="s">
        <v>34</v>
      </c>
      <c r="P60" s="30" t="s">
        <v>34</v>
      </c>
      <c r="Q60" s="30" t="s">
        <v>34</v>
      </c>
      <c r="R60" s="30" t="s">
        <v>34</v>
      </c>
      <c r="S60" s="30" t="s">
        <v>34</v>
      </c>
      <c r="T60" s="30" t="s">
        <v>34</v>
      </c>
      <c r="U60" s="30" t="s">
        <v>34</v>
      </c>
      <c r="V60" s="30" t="s">
        <v>34</v>
      </c>
      <c r="W60" s="30" t="s">
        <v>34</v>
      </c>
      <c r="X60" s="29" t="s">
        <v>34</v>
      </c>
    </row>
    <row r="61" spans="1:25" ht="20.45" customHeight="1" thickBot="1">
      <c r="A61" s="28"/>
      <c r="B61" s="334" t="s">
        <v>33</v>
      </c>
      <c r="C61" s="334"/>
      <c r="D61" s="334"/>
      <c r="E61" s="334"/>
      <c r="F61" s="334"/>
      <c r="G61" s="27"/>
      <c r="H61" s="26">
        <v>73616</v>
      </c>
      <c r="I61" s="17">
        <v>8207</v>
      </c>
      <c r="J61" s="88">
        <v>360</v>
      </c>
      <c r="K61" s="88">
        <v>2826</v>
      </c>
      <c r="L61" s="88">
        <v>16447</v>
      </c>
      <c r="M61" s="88">
        <v>12487</v>
      </c>
      <c r="N61" s="88">
        <v>8442</v>
      </c>
      <c r="O61" s="88">
        <v>1272</v>
      </c>
      <c r="P61" s="88">
        <v>460</v>
      </c>
      <c r="Q61" s="88">
        <v>9304</v>
      </c>
      <c r="R61" s="88">
        <v>695</v>
      </c>
      <c r="S61" s="88">
        <v>1117</v>
      </c>
      <c r="T61" s="88">
        <v>1816</v>
      </c>
      <c r="U61" s="88">
        <v>1900</v>
      </c>
      <c r="V61" s="88">
        <v>111</v>
      </c>
      <c r="W61" s="88">
        <v>4323</v>
      </c>
      <c r="X61" s="66">
        <v>3849</v>
      </c>
    </row>
    <row r="62" spans="1:25" ht="30" customHeight="1">
      <c r="A62" s="25"/>
      <c r="B62" s="358" t="s">
        <v>32</v>
      </c>
      <c r="C62" s="358"/>
      <c r="D62" s="358"/>
      <c r="E62" s="359"/>
      <c r="F62" s="359"/>
      <c r="G62" s="24"/>
      <c r="H62" s="23">
        <v>58240</v>
      </c>
      <c r="I62" s="134">
        <v>7563</v>
      </c>
      <c r="J62" s="135">
        <v>351</v>
      </c>
      <c r="K62" s="135">
        <v>1818</v>
      </c>
      <c r="L62" s="135">
        <v>14343</v>
      </c>
      <c r="M62" s="135">
        <v>8962</v>
      </c>
      <c r="N62" s="135">
        <v>5510</v>
      </c>
      <c r="O62" s="135">
        <v>1090</v>
      </c>
      <c r="P62" s="135">
        <v>449</v>
      </c>
      <c r="Q62" s="135">
        <v>6788</v>
      </c>
      <c r="R62" s="135">
        <v>448</v>
      </c>
      <c r="S62" s="135">
        <v>786</v>
      </c>
      <c r="T62" s="135">
        <v>1816</v>
      </c>
      <c r="U62" s="135">
        <v>1400</v>
      </c>
      <c r="V62" s="135">
        <v>82</v>
      </c>
      <c r="W62" s="135">
        <v>4317</v>
      </c>
      <c r="X62" s="136">
        <v>2517</v>
      </c>
    </row>
    <row r="63" spans="1:25" ht="30" customHeight="1">
      <c r="A63" s="25"/>
      <c r="B63" s="139" t="s">
        <v>31</v>
      </c>
      <c r="C63" s="360" t="s">
        <v>30</v>
      </c>
      <c r="D63" s="360"/>
      <c r="E63" s="360"/>
      <c r="F63" s="360"/>
      <c r="G63" s="24"/>
      <c r="H63" s="23">
        <f t="shared" ref="H63:H73" si="6">SUM(I63:X63)</f>
        <v>1171</v>
      </c>
      <c r="I63" s="22">
        <v>21</v>
      </c>
      <c r="J63" s="21">
        <v>1</v>
      </c>
      <c r="K63" s="21">
        <v>116</v>
      </c>
      <c r="L63" s="21">
        <v>66</v>
      </c>
      <c r="M63" s="21">
        <v>388</v>
      </c>
      <c r="N63" s="21">
        <v>131</v>
      </c>
      <c r="O63" s="21">
        <v>8</v>
      </c>
      <c r="P63" s="21">
        <v>0</v>
      </c>
      <c r="Q63" s="21">
        <v>201</v>
      </c>
      <c r="R63" s="21">
        <v>3</v>
      </c>
      <c r="S63" s="21">
        <v>18</v>
      </c>
      <c r="T63" s="21">
        <v>0</v>
      </c>
      <c r="U63" s="21">
        <v>102</v>
      </c>
      <c r="V63" s="21">
        <v>1</v>
      </c>
      <c r="W63" s="21">
        <v>0</v>
      </c>
      <c r="X63" s="20">
        <v>115</v>
      </c>
    </row>
    <row r="64" spans="1:25" ht="30" customHeight="1">
      <c r="A64" s="25"/>
      <c r="B64" s="139" t="s">
        <v>29</v>
      </c>
      <c r="C64" s="361" t="s">
        <v>23</v>
      </c>
      <c r="D64" s="361"/>
      <c r="E64" s="361"/>
      <c r="F64" s="361"/>
      <c r="G64" s="24"/>
      <c r="H64" s="23">
        <f t="shared" si="6"/>
        <v>1257</v>
      </c>
      <c r="I64" s="22">
        <v>47</v>
      </c>
      <c r="J64" s="21">
        <v>2</v>
      </c>
      <c r="K64" s="21">
        <v>48</v>
      </c>
      <c r="L64" s="21">
        <v>165</v>
      </c>
      <c r="M64" s="21">
        <v>266</v>
      </c>
      <c r="N64" s="21">
        <v>333</v>
      </c>
      <c r="O64" s="21">
        <v>23</v>
      </c>
      <c r="P64" s="21">
        <v>1</v>
      </c>
      <c r="Q64" s="21">
        <v>253</v>
      </c>
      <c r="R64" s="21">
        <v>15</v>
      </c>
      <c r="S64" s="21">
        <v>23</v>
      </c>
      <c r="T64" s="21">
        <v>0</v>
      </c>
      <c r="U64" s="21">
        <v>19</v>
      </c>
      <c r="V64" s="21">
        <v>2</v>
      </c>
      <c r="W64" s="21">
        <v>0</v>
      </c>
      <c r="X64" s="20">
        <v>60</v>
      </c>
    </row>
    <row r="65" spans="1:24" ht="30" customHeight="1">
      <c r="A65" s="25"/>
      <c r="B65" s="139" t="s">
        <v>28</v>
      </c>
      <c r="C65" s="361" t="s">
        <v>23</v>
      </c>
      <c r="D65" s="361"/>
      <c r="E65" s="361"/>
      <c r="F65" s="361"/>
      <c r="G65" s="24"/>
      <c r="H65" s="23">
        <f t="shared" si="6"/>
        <v>1572</v>
      </c>
      <c r="I65" s="22">
        <v>95</v>
      </c>
      <c r="J65" s="21">
        <v>2</v>
      </c>
      <c r="K65" s="21">
        <v>86</v>
      </c>
      <c r="L65" s="21">
        <v>290</v>
      </c>
      <c r="M65" s="21">
        <v>283</v>
      </c>
      <c r="N65" s="21">
        <v>305</v>
      </c>
      <c r="O65" s="21">
        <v>9</v>
      </c>
      <c r="P65" s="21">
        <v>2</v>
      </c>
      <c r="Q65" s="21">
        <v>289</v>
      </c>
      <c r="R65" s="21">
        <v>31</v>
      </c>
      <c r="S65" s="21">
        <v>32</v>
      </c>
      <c r="T65" s="21">
        <v>0</v>
      </c>
      <c r="U65" s="21">
        <v>9</v>
      </c>
      <c r="V65" s="21">
        <v>6</v>
      </c>
      <c r="W65" s="21">
        <v>0</v>
      </c>
      <c r="X65" s="20">
        <v>133</v>
      </c>
    </row>
    <row r="66" spans="1:24" ht="30" customHeight="1">
      <c r="A66" s="25"/>
      <c r="B66" s="139" t="s">
        <v>27</v>
      </c>
      <c r="C66" s="361" t="s">
        <v>23</v>
      </c>
      <c r="D66" s="361"/>
      <c r="E66" s="361"/>
      <c r="F66" s="361"/>
      <c r="G66" s="24"/>
      <c r="H66" s="23">
        <f t="shared" si="6"/>
        <v>1002</v>
      </c>
      <c r="I66" s="22">
        <v>39</v>
      </c>
      <c r="J66" s="21">
        <v>0</v>
      </c>
      <c r="K66" s="21">
        <v>0</v>
      </c>
      <c r="L66" s="21">
        <v>127</v>
      </c>
      <c r="M66" s="21">
        <v>151</v>
      </c>
      <c r="N66" s="21">
        <v>283</v>
      </c>
      <c r="O66" s="21">
        <v>11</v>
      </c>
      <c r="P66" s="21">
        <v>0</v>
      </c>
      <c r="Q66" s="21">
        <v>186</v>
      </c>
      <c r="R66" s="21">
        <v>49</v>
      </c>
      <c r="S66" s="21">
        <v>21</v>
      </c>
      <c r="T66" s="21">
        <v>0</v>
      </c>
      <c r="U66" s="21">
        <v>40</v>
      </c>
      <c r="V66" s="21">
        <v>0</v>
      </c>
      <c r="W66" s="21">
        <v>0</v>
      </c>
      <c r="X66" s="20">
        <v>95</v>
      </c>
    </row>
    <row r="67" spans="1:24" ht="30" customHeight="1">
      <c r="A67" s="25"/>
      <c r="B67" s="139" t="s">
        <v>26</v>
      </c>
      <c r="C67" s="361" t="s">
        <v>23</v>
      </c>
      <c r="D67" s="361"/>
      <c r="E67" s="361"/>
      <c r="F67" s="361"/>
      <c r="G67" s="24"/>
      <c r="H67" s="23">
        <f t="shared" si="6"/>
        <v>1689</v>
      </c>
      <c r="I67" s="22">
        <v>76</v>
      </c>
      <c r="J67" s="21">
        <v>0</v>
      </c>
      <c r="K67" s="21">
        <v>22</v>
      </c>
      <c r="L67" s="21">
        <v>240</v>
      </c>
      <c r="M67" s="21">
        <v>401</v>
      </c>
      <c r="N67" s="21">
        <v>465</v>
      </c>
      <c r="O67" s="21">
        <v>2</v>
      </c>
      <c r="P67" s="21">
        <v>0</v>
      </c>
      <c r="Q67" s="21">
        <v>180</v>
      </c>
      <c r="R67" s="21">
        <v>42</v>
      </c>
      <c r="S67" s="21">
        <v>24</v>
      </c>
      <c r="T67" s="21">
        <v>0</v>
      </c>
      <c r="U67" s="21">
        <v>70</v>
      </c>
      <c r="V67" s="21">
        <v>0</v>
      </c>
      <c r="W67" s="21">
        <v>4</v>
      </c>
      <c r="X67" s="20">
        <v>163</v>
      </c>
    </row>
    <row r="68" spans="1:24" ht="30" customHeight="1">
      <c r="A68" s="25"/>
      <c r="B68" s="139" t="s">
        <v>25</v>
      </c>
      <c r="C68" s="361" t="s">
        <v>23</v>
      </c>
      <c r="D68" s="361"/>
      <c r="E68" s="361"/>
      <c r="F68" s="361"/>
      <c r="G68" s="24"/>
      <c r="H68" s="23">
        <f t="shared" si="6"/>
        <v>1069</v>
      </c>
      <c r="I68" s="22">
        <v>79</v>
      </c>
      <c r="J68" s="21">
        <v>0</v>
      </c>
      <c r="K68" s="21">
        <v>2</v>
      </c>
      <c r="L68" s="21">
        <v>179</v>
      </c>
      <c r="M68" s="21">
        <v>121</v>
      </c>
      <c r="N68" s="21">
        <v>364</v>
      </c>
      <c r="O68" s="21">
        <v>13</v>
      </c>
      <c r="P68" s="21">
        <v>2</v>
      </c>
      <c r="Q68" s="21">
        <v>149</v>
      </c>
      <c r="R68" s="21">
        <v>10</v>
      </c>
      <c r="S68" s="21">
        <v>18</v>
      </c>
      <c r="T68" s="21">
        <v>0</v>
      </c>
      <c r="U68" s="21">
        <v>21</v>
      </c>
      <c r="V68" s="21">
        <v>1</v>
      </c>
      <c r="W68" s="21">
        <v>2</v>
      </c>
      <c r="X68" s="20">
        <v>108</v>
      </c>
    </row>
    <row r="69" spans="1:24" ht="30" customHeight="1">
      <c r="A69" s="25"/>
      <c r="B69" s="139" t="s">
        <v>24</v>
      </c>
      <c r="C69" s="361" t="s">
        <v>23</v>
      </c>
      <c r="D69" s="361"/>
      <c r="E69" s="361"/>
      <c r="F69" s="361"/>
      <c r="G69" s="24"/>
      <c r="H69" s="23">
        <f t="shared" si="6"/>
        <v>2005</v>
      </c>
      <c r="I69" s="22">
        <v>156</v>
      </c>
      <c r="J69" s="21">
        <v>2</v>
      </c>
      <c r="K69" s="21">
        <v>218</v>
      </c>
      <c r="L69" s="21">
        <v>354</v>
      </c>
      <c r="M69" s="21">
        <v>312</v>
      </c>
      <c r="N69" s="21">
        <v>339</v>
      </c>
      <c r="O69" s="21">
        <v>7</v>
      </c>
      <c r="P69" s="21">
        <v>3</v>
      </c>
      <c r="Q69" s="21">
        <v>260</v>
      </c>
      <c r="R69" s="21">
        <v>67</v>
      </c>
      <c r="S69" s="21">
        <v>57</v>
      </c>
      <c r="T69" s="21">
        <v>0</v>
      </c>
      <c r="U69" s="21">
        <v>97</v>
      </c>
      <c r="V69" s="21">
        <v>3</v>
      </c>
      <c r="W69" s="21">
        <v>0</v>
      </c>
      <c r="X69" s="20">
        <v>130</v>
      </c>
    </row>
    <row r="70" spans="1:24" ht="30" customHeight="1">
      <c r="A70" s="25"/>
      <c r="B70" s="139" t="s">
        <v>22</v>
      </c>
      <c r="C70" s="361" t="s">
        <v>19</v>
      </c>
      <c r="D70" s="361"/>
      <c r="E70" s="361"/>
      <c r="F70" s="361"/>
      <c r="G70" s="24"/>
      <c r="H70" s="23">
        <f t="shared" si="6"/>
        <v>1051</v>
      </c>
      <c r="I70" s="22">
        <v>19</v>
      </c>
      <c r="J70" s="21">
        <v>0</v>
      </c>
      <c r="K70" s="21">
        <v>60</v>
      </c>
      <c r="L70" s="21">
        <v>116</v>
      </c>
      <c r="M70" s="21">
        <v>334</v>
      </c>
      <c r="N70" s="21">
        <v>214</v>
      </c>
      <c r="O70" s="21">
        <v>13</v>
      </c>
      <c r="P70" s="21">
        <v>2</v>
      </c>
      <c r="Q70" s="21">
        <v>164</v>
      </c>
      <c r="R70" s="21">
        <v>18</v>
      </c>
      <c r="S70" s="21">
        <v>18</v>
      </c>
      <c r="T70" s="21">
        <v>0</v>
      </c>
      <c r="U70" s="21">
        <v>32</v>
      </c>
      <c r="V70" s="21">
        <v>0</v>
      </c>
      <c r="W70" s="21">
        <v>0</v>
      </c>
      <c r="X70" s="20">
        <v>61</v>
      </c>
    </row>
    <row r="71" spans="1:24" ht="30" customHeight="1">
      <c r="A71" s="25"/>
      <c r="B71" s="139" t="s">
        <v>21</v>
      </c>
      <c r="C71" s="361" t="s">
        <v>19</v>
      </c>
      <c r="D71" s="361"/>
      <c r="E71" s="361"/>
      <c r="F71" s="361"/>
      <c r="G71" s="24"/>
      <c r="H71" s="23">
        <f t="shared" si="6"/>
        <v>1334</v>
      </c>
      <c r="I71" s="22">
        <v>42</v>
      </c>
      <c r="J71" s="21">
        <v>0</v>
      </c>
      <c r="K71" s="21">
        <v>48</v>
      </c>
      <c r="L71" s="21">
        <v>129</v>
      </c>
      <c r="M71" s="21">
        <v>301</v>
      </c>
      <c r="N71" s="21">
        <v>302</v>
      </c>
      <c r="O71" s="21">
        <v>11</v>
      </c>
      <c r="P71" s="21">
        <v>0</v>
      </c>
      <c r="Q71" s="21">
        <v>298</v>
      </c>
      <c r="R71" s="21">
        <v>5</v>
      </c>
      <c r="S71" s="21">
        <v>5</v>
      </c>
      <c r="T71" s="21">
        <v>0</v>
      </c>
      <c r="U71" s="21">
        <v>25</v>
      </c>
      <c r="V71" s="21">
        <v>6</v>
      </c>
      <c r="W71" s="21">
        <v>0</v>
      </c>
      <c r="X71" s="20">
        <v>162</v>
      </c>
    </row>
    <row r="72" spans="1:24" ht="30" customHeight="1">
      <c r="A72" s="25"/>
      <c r="B72" s="139" t="s">
        <v>20</v>
      </c>
      <c r="C72" s="361" t="s">
        <v>19</v>
      </c>
      <c r="D72" s="361"/>
      <c r="E72" s="361"/>
      <c r="F72" s="361"/>
      <c r="G72" s="24"/>
      <c r="H72" s="23">
        <f t="shared" si="6"/>
        <v>1285</v>
      </c>
      <c r="I72" s="22">
        <v>19</v>
      </c>
      <c r="J72" s="21">
        <v>2</v>
      </c>
      <c r="K72" s="21">
        <v>124</v>
      </c>
      <c r="L72" s="21">
        <v>196</v>
      </c>
      <c r="M72" s="21">
        <v>326</v>
      </c>
      <c r="N72" s="21">
        <v>86</v>
      </c>
      <c r="O72" s="21">
        <v>20</v>
      </c>
      <c r="P72" s="21">
        <v>0</v>
      </c>
      <c r="Q72" s="21">
        <v>144</v>
      </c>
      <c r="R72" s="21">
        <v>5</v>
      </c>
      <c r="S72" s="21">
        <v>57</v>
      </c>
      <c r="T72" s="21">
        <v>0</v>
      </c>
      <c r="U72" s="21">
        <v>34</v>
      </c>
      <c r="V72" s="21">
        <v>1</v>
      </c>
      <c r="W72" s="21">
        <v>0</v>
      </c>
      <c r="X72" s="20">
        <v>271</v>
      </c>
    </row>
    <row r="73" spans="1:24" ht="30" customHeight="1" thickBot="1">
      <c r="A73" s="19"/>
      <c r="B73" s="138" t="s">
        <v>18</v>
      </c>
      <c r="C73" s="362" t="s">
        <v>17</v>
      </c>
      <c r="D73" s="362"/>
      <c r="E73" s="362"/>
      <c r="F73" s="362"/>
      <c r="G73" s="18"/>
      <c r="H73" s="17">
        <f t="shared" si="6"/>
        <v>1941</v>
      </c>
      <c r="I73" s="16">
        <v>51</v>
      </c>
      <c r="J73" s="15">
        <v>0</v>
      </c>
      <c r="K73" s="15">
        <v>284</v>
      </c>
      <c r="L73" s="15">
        <v>242</v>
      </c>
      <c r="M73" s="15">
        <v>642</v>
      </c>
      <c r="N73" s="15">
        <v>110</v>
      </c>
      <c r="O73" s="15">
        <v>65</v>
      </c>
      <c r="P73" s="15">
        <v>1</v>
      </c>
      <c r="Q73" s="15">
        <v>392</v>
      </c>
      <c r="R73" s="15">
        <v>2</v>
      </c>
      <c r="S73" s="15">
        <v>58</v>
      </c>
      <c r="T73" s="15">
        <v>0</v>
      </c>
      <c r="U73" s="15">
        <v>51</v>
      </c>
      <c r="V73" s="15">
        <v>9</v>
      </c>
      <c r="W73" s="15">
        <v>0</v>
      </c>
      <c r="X73" s="14">
        <v>34</v>
      </c>
    </row>
    <row r="74" spans="1:24" ht="15" customHeight="1"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</row>
    <row r="75" spans="1:24" ht="23.1" customHeight="1">
      <c r="A75" s="12"/>
      <c r="B75" s="11"/>
      <c r="C75" s="11"/>
      <c r="D75" s="11"/>
      <c r="E75" s="10"/>
      <c r="F75" s="10"/>
      <c r="G75" s="9"/>
      <c r="H75" s="8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</sheetData>
  <mergeCells count="64">
    <mergeCell ref="C65:F65"/>
    <mergeCell ref="C72:F72"/>
    <mergeCell ref="C73:F73"/>
    <mergeCell ref="C66:F66"/>
    <mergeCell ref="C67:F67"/>
    <mergeCell ref="C68:F68"/>
    <mergeCell ref="C69:F69"/>
    <mergeCell ref="C70:F70"/>
    <mergeCell ref="C71:F71"/>
    <mergeCell ref="B60:F60"/>
    <mergeCell ref="B61:F61"/>
    <mergeCell ref="B62:F62"/>
    <mergeCell ref="C63:F63"/>
    <mergeCell ref="C64:F64"/>
    <mergeCell ref="B47:E47"/>
    <mergeCell ref="B48:E48"/>
    <mergeCell ref="B56:H56"/>
    <mergeCell ref="A57:G59"/>
    <mergeCell ref="B49:E49"/>
    <mergeCell ref="B50:E50"/>
    <mergeCell ref="B51:E51"/>
    <mergeCell ref="B52:E52"/>
    <mergeCell ref="B53:E53"/>
    <mergeCell ref="B54:E54"/>
    <mergeCell ref="B42:E42"/>
    <mergeCell ref="B43:E43"/>
    <mergeCell ref="B44:E44"/>
    <mergeCell ref="B45:E45"/>
    <mergeCell ref="B46:E46"/>
    <mergeCell ref="B37:E37"/>
    <mergeCell ref="B38:E38"/>
    <mergeCell ref="B39:E39"/>
    <mergeCell ref="B40:E40"/>
    <mergeCell ref="B41:E41"/>
    <mergeCell ref="B32:E32"/>
    <mergeCell ref="B33:E33"/>
    <mergeCell ref="B34:E34"/>
    <mergeCell ref="B35:E35"/>
    <mergeCell ref="B36:E36"/>
    <mergeCell ref="B27:E27"/>
    <mergeCell ref="B28:E28"/>
    <mergeCell ref="B29:E29"/>
    <mergeCell ref="B30:E30"/>
    <mergeCell ref="B31:E31"/>
    <mergeCell ref="B19:E19"/>
    <mergeCell ref="B20:E20"/>
    <mergeCell ref="B21:E21"/>
    <mergeCell ref="A23:G25"/>
    <mergeCell ref="B26:F26"/>
    <mergeCell ref="B14:E14"/>
    <mergeCell ref="B15:E15"/>
    <mergeCell ref="B16:E16"/>
    <mergeCell ref="B17:E17"/>
    <mergeCell ref="B18:E18"/>
    <mergeCell ref="B9:E9"/>
    <mergeCell ref="B10:E10"/>
    <mergeCell ref="B11:E11"/>
    <mergeCell ref="B12:E12"/>
    <mergeCell ref="B13:E13"/>
    <mergeCell ref="B2:F2"/>
    <mergeCell ref="A3:G5"/>
    <mergeCell ref="B6:F6"/>
    <mergeCell ref="B7:F7"/>
    <mergeCell ref="B8:E8"/>
  </mergeCells>
  <phoneticPr fontId="1"/>
  <printOptions horizontalCentered="1"/>
  <pageMargins left="0.53" right="0.4" top="0.98425196850393704" bottom="0.7" header="0.51181102362204722" footer="0.41"/>
  <pageSetup paperSize="9" scale="85" orientation="landscape" r:id="rId1"/>
  <headerFooter alignWithMargins="0"/>
  <rowBreaks count="2" manualBreakCount="2">
    <brk id="22" max="16383" man="1"/>
    <brk id="55" max="2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13"/>
  <sheetViews>
    <sheetView view="pageBreakPreview" zoomScaleNormal="100" zoomScaleSheetLayoutView="100" workbookViewId="0">
      <pane xSplit="8" ySplit="5" topLeftCell="J6" activePane="bottomRight" state="frozen"/>
      <selection activeCell="O10" sqref="O10"/>
      <selection pane="topRight" activeCell="O10" sqref="O10"/>
      <selection pane="bottomLeft" activeCell="O10" sqref="O10"/>
      <selection pane="bottomRight" activeCell="O10" sqref="O10"/>
    </sheetView>
  </sheetViews>
  <sheetFormatPr defaultRowHeight="10.5"/>
  <cols>
    <col min="1" max="1" width="1.5" style="143" customWidth="1"/>
    <col min="2" max="2" width="7.75" style="143" customWidth="1"/>
    <col min="3" max="3" width="1.5" style="143" customWidth="1"/>
    <col min="4" max="4" width="10.75" style="143" customWidth="1"/>
    <col min="5" max="5" width="1.5" style="143" customWidth="1"/>
    <col min="6" max="6" width="7.625" style="143" customWidth="1"/>
    <col min="7" max="7" width="1.5" style="143" customWidth="1"/>
    <col min="8" max="8" width="8.25" style="142" bestFit="1" customWidth="1"/>
    <col min="9" max="9" width="6.625" style="141" customWidth="1"/>
    <col min="10" max="23" width="5.625" style="141" customWidth="1"/>
    <col min="24" max="24" width="7" style="141" customWidth="1"/>
    <col min="25" max="16384" width="9" style="140"/>
  </cols>
  <sheetData>
    <row r="1" spans="1:24" s="143" customFormat="1" ht="29.25" hidden="1" customHeight="1">
      <c r="A1" s="241"/>
      <c r="B1" s="241"/>
      <c r="C1" s="241"/>
      <c r="D1" s="241"/>
      <c r="E1" s="241"/>
      <c r="F1" s="241"/>
      <c r="G1" s="241"/>
      <c r="H1" s="240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</row>
    <row r="2" spans="1:24" s="143" customFormat="1" ht="20.25" customHeight="1" thickBot="1">
      <c r="A2" s="241"/>
      <c r="B2" s="372" t="s">
        <v>208</v>
      </c>
      <c r="C2" s="372"/>
      <c r="D2" s="372"/>
      <c r="E2" s="372"/>
      <c r="F2" s="372"/>
      <c r="G2" s="241"/>
      <c r="H2" s="240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</row>
    <row r="3" spans="1:24" s="143" customFormat="1" ht="9.1999999999999993" customHeight="1">
      <c r="A3" s="373" t="s">
        <v>91</v>
      </c>
      <c r="B3" s="374"/>
      <c r="C3" s="374"/>
      <c r="D3" s="374"/>
      <c r="E3" s="374"/>
      <c r="F3" s="374"/>
      <c r="G3" s="375"/>
      <c r="H3" s="172"/>
      <c r="I3" s="239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238"/>
    </row>
    <row r="4" spans="1:24" s="143" customFormat="1" ht="54" customHeight="1">
      <c r="A4" s="376"/>
      <c r="B4" s="377"/>
      <c r="C4" s="377"/>
      <c r="D4" s="377"/>
      <c r="E4" s="377"/>
      <c r="F4" s="377"/>
      <c r="G4" s="378"/>
      <c r="H4" s="237" t="s">
        <v>16</v>
      </c>
      <c r="I4" s="236" t="s">
        <v>15</v>
      </c>
      <c r="J4" s="234" t="s">
        <v>14</v>
      </c>
      <c r="K4" s="234" t="s">
        <v>13</v>
      </c>
      <c r="L4" s="234" t="s">
        <v>12</v>
      </c>
      <c r="M4" s="234" t="s">
        <v>11</v>
      </c>
      <c r="N4" s="234" t="s">
        <v>10</v>
      </c>
      <c r="O4" s="234" t="s">
        <v>9</v>
      </c>
      <c r="P4" s="234" t="s">
        <v>8</v>
      </c>
      <c r="Q4" s="234" t="s">
        <v>7</v>
      </c>
      <c r="R4" s="234" t="s">
        <v>6</v>
      </c>
      <c r="S4" s="235" t="s">
        <v>5</v>
      </c>
      <c r="T4" s="234" t="s">
        <v>4</v>
      </c>
      <c r="U4" s="234" t="s">
        <v>3</v>
      </c>
      <c r="V4" s="234" t="s">
        <v>2</v>
      </c>
      <c r="W4" s="234" t="s">
        <v>1</v>
      </c>
      <c r="X4" s="233" t="s">
        <v>0</v>
      </c>
    </row>
    <row r="5" spans="1:24" s="143" customFormat="1" ht="9.1999999999999993" customHeight="1" thickBot="1">
      <c r="A5" s="379"/>
      <c r="B5" s="380"/>
      <c r="C5" s="380"/>
      <c r="D5" s="380"/>
      <c r="E5" s="380"/>
      <c r="F5" s="380"/>
      <c r="G5" s="381"/>
      <c r="H5" s="232"/>
      <c r="I5" s="231"/>
      <c r="J5" s="229"/>
      <c r="K5" s="229"/>
      <c r="L5" s="229"/>
      <c r="M5" s="229"/>
      <c r="N5" s="229"/>
      <c r="O5" s="229"/>
      <c r="P5" s="229"/>
      <c r="Q5" s="229"/>
      <c r="R5" s="229"/>
      <c r="S5" s="230"/>
      <c r="T5" s="229"/>
      <c r="U5" s="229"/>
      <c r="V5" s="229"/>
      <c r="W5" s="229"/>
      <c r="X5" s="228"/>
    </row>
    <row r="6" spans="1:24" s="143" customFormat="1" ht="18.75" customHeight="1">
      <c r="A6" s="174"/>
      <c r="B6" s="382"/>
      <c r="C6" s="382"/>
      <c r="D6" s="382"/>
      <c r="E6" s="382"/>
      <c r="F6" s="382"/>
      <c r="G6" s="173"/>
      <c r="H6" s="172" t="s">
        <v>34</v>
      </c>
      <c r="I6" s="211" t="s">
        <v>34</v>
      </c>
      <c r="J6" s="170" t="s">
        <v>34</v>
      </c>
      <c r="K6" s="170" t="s">
        <v>34</v>
      </c>
      <c r="L6" s="170" t="s">
        <v>34</v>
      </c>
      <c r="M6" s="170" t="s">
        <v>34</v>
      </c>
      <c r="N6" s="170" t="s">
        <v>34</v>
      </c>
      <c r="O6" s="170" t="s">
        <v>34</v>
      </c>
      <c r="P6" s="170" t="s">
        <v>34</v>
      </c>
      <c r="Q6" s="170" t="s">
        <v>34</v>
      </c>
      <c r="R6" s="170" t="s">
        <v>34</v>
      </c>
      <c r="S6" s="170" t="s">
        <v>34</v>
      </c>
      <c r="T6" s="170" t="s">
        <v>34</v>
      </c>
      <c r="U6" s="170" t="s">
        <v>34</v>
      </c>
      <c r="V6" s="170" t="s">
        <v>34</v>
      </c>
      <c r="W6" s="170" t="s">
        <v>34</v>
      </c>
      <c r="X6" s="169" t="s">
        <v>34</v>
      </c>
    </row>
    <row r="7" spans="1:24" ht="15" customHeight="1">
      <c r="A7" s="166"/>
      <c r="B7" s="383" t="s">
        <v>207</v>
      </c>
      <c r="C7" s="383"/>
      <c r="D7" s="383"/>
      <c r="E7" s="383"/>
      <c r="F7" s="146" t="s">
        <v>206</v>
      </c>
      <c r="G7" s="162"/>
      <c r="H7" s="216">
        <f t="shared" ref="H7:H32" si="0">SUM(I7:X7)</f>
        <v>670167</v>
      </c>
      <c r="I7" s="225">
        <f t="shared" ref="I7:X7" si="1">I9+I11+I13+I15+I17+I19+I21+I23+I25+I27+I29+I31+I37+I39+I41+I43+I45+I47+I49+I51+I53+I55+I57+I59+I61+I63+I65+I71+I73+I75+I77+I79+I81+I83+I85+I87+I89+I91+I93+I95+I97+I99+I105+I107+I109+I111+I113+I115+I117+I119+I121+SUM(I123,I125,I127,I129,I131,I133,I139,I141)+SUM(I143,I145,I147,I149,I151)+SUM(I153,I155,I157,I159,I161,I163,I165,I167)+SUM(I173,I175,I177,I179,I181,I183,I185,I187,I189,I191)+SUM(I193,I195,I197,I199,I201,I203,I209,I211)</f>
        <v>962</v>
      </c>
      <c r="J7" s="225">
        <f t="shared" si="1"/>
        <v>424</v>
      </c>
      <c r="K7" s="225">
        <f t="shared" si="1"/>
        <v>777</v>
      </c>
      <c r="L7" s="225">
        <f t="shared" si="1"/>
        <v>5007</v>
      </c>
      <c r="M7" s="225">
        <f t="shared" si="1"/>
        <v>2821</v>
      </c>
      <c r="N7" s="225">
        <f t="shared" si="1"/>
        <v>4440</v>
      </c>
      <c r="O7" s="225">
        <f t="shared" si="1"/>
        <v>228</v>
      </c>
      <c r="P7" s="225">
        <f t="shared" si="1"/>
        <v>296</v>
      </c>
      <c r="Q7" s="225">
        <f t="shared" si="1"/>
        <v>1679</v>
      </c>
      <c r="R7" s="225">
        <f t="shared" si="1"/>
        <v>20592</v>
      </c>
      <c r="S7" s="225">
        <f t="shared" si="1"/>
        <v>75072</v>
      </c>
      <c r="T7" s="225">
        <f t="shared" si="1"/>
        <v>137</v>
      </c>
      <c r="U7" s="225">
        <f t="shared" si="1"/>
        <v>55335</v>
      </c>
      <c r="V7" s="225">
        <f t="shared" si="1"/>
        <v>15</v>
      </c>
      <c r="W7" s="225">
        <f t="shared" si="1"/>
        <v>31</v>
      </c>
      <c r="X7" s="224">
        <f t="shared" si="1"/>
        <v>502351</v>
      </c>
    </row>
    <row r="8" spans="1:24" ht="15" customHeight="1" thickBot="1">
      <c r="A8" s="157"/>
      <c r="B8" s="384" t="s">
        <v>205</v>
      </c>
      <c r="C8" s="384"/>
      <c r="D8" s="384"/>
      <c r="E8" s="384"/>
      <c r="F8" s="155" t="s">
        <v>204</v>
      </c>
      <c r="G8" s="154"/>
      <c r="H8" s="227">
        <f t="shared" si="0"/>
        <v>1120552</v>
      </c>
      <c r="I8" s="225">
        <f t="shared" ref="I8:X8" si="2">I10+I12+I14+I16+I18+I20+I22+I24+I26+I28+I30+I32+I38+I40+I42+I44+I46+I48+I50+I52+I54+I56+I58+I60+I62+I64+I66+I72+I74+I76+I78+I80+I82+I84+I86+I88+I90+I92+I94+I96+I98+I100+I106+I108+I110+I112+I114+I116+I118+I120+I122+SUM(I124,I126,I128,I130,I132,I134,I140,I142)+SUM(I144,I146,I148,I150,I152)+SUM(I154,I156,I158,I160,I162,I164,I166,I168)+SUM(I174,I176,I178,I180,I182,I184,I186,I188,I190,I192)+SUM(I194,I196,I198,I200,I202,I204,I210,I212)</f>
        <v>81012</v>
      </c>
      <c r="J8" s="225">
        <f t="shared" si="2"/>
        <v>419</v>
      </c>
      <c r="K8" s="225">
        <f t="shared" si="2"/>
        <v>519</v>
      </c>
      <c r="L8" s="225">
        <f t="shared" si="2"/>
        <v>11620</v>
      </c>
      <c r="M8" s="225">
        <f t="shared" si="2"/>
        <v>459</v>
      </c>
      <c r="N8" s="225">
        <f t="shared" si="2"/>
        <v>939</v>
      </c>
      <c r="O8" s="225">
        <f t="shared" si="2"/>
        <v>2220</v>
      </c>
      <c r="P8" s="225">
        <f t="shared" si="2"/>
        <v>102</v>
      </c>
      <c r="Q8" s="225">
        <f t="shared" si="2"/>
        <v>129</v>
      </c>
      <c r="R8" s="225">
        <f t="shared" si="2"/>
        <v>1923</v>
      </c>
      <c r="S8" s="226">
        <f t="shared" si="2"/>
        <v>23307</v>
      </c>
      <c r="T8" s="225">
        <f t="shared" si="2"/>
        <v>78</v>
      </c>
      <c r="U8" s="225">
        <f t="shared" si="2"/>
        <v>21501</v>
      </c>
      <c r="V8" s="225">
        <f t="shared" si="2"/>
        <v>1</v>
      </c>
      <c r="W8" s="225">
        <f t="shared" si="2"/>
        <v>2</v>
      </c>
      <c r="X8" s="224">
        <f t="shared" si="2"/>
        <v>976321</v>
      </c>
    </row>
    <row r="9" spans="1:24" ht="15" customHeight="1">
      <c r="A9" s="223"/>
      <c r="B9" s="385" t="s">
        <v>203</v>
      </c>
      <c r="C9" s="385"/>
      <c r="D9" s="385"/>
      <c r="E9" s="222"/>
      <c r="F9" s="221" t="s">
        <v>39</v>
      </c>
      <c r="G9" s="220"/>
      <c r="H9" s="216">
        <f t="shared" si="0"/>
        <v>44</v>
      </c>
      <c r="I9" s="219">
        <v>0</v>
      </c>
      <c r="J9" s="218">
        <v>0</v>
      </c>
      <c r="K9" s="218">
        <v>0</v>
      </c>
      <c r="L9" s="218">
        <v>0</v>
      </c>
      <c r="M9" s="218">
        <v>0</v>
      </c>
      <c r="N9" s="218">
        <v>0</v>
      </c>
      <c r="O9" s="218">
        <v>0</v>
      </c>
      <c r="P9" s="218">
        <v>0</v>
      </c>
      <c r="Q9" s="218">
        <v>0</v>
      </c>
      <c r="R9" s="218">
        <v>0</v>
      </c>
      <c r="S9" s="218">
        <v>0</v>
      </c>
      <c r="T9" s="218">
        <v>0</v>
      </c>
      <c r="U9" s="218">
        <v>0</v>
      </c>
      <c r="V9" s="218">
        <v>0</v>
      </c>
      <c r="W9" s="218">
        <v>0</v>
      </c>
      <c r="X9" s="217">
        <v>44</v>
      </c>
    </row>
    <row r="10" spans="1:24" ht="15" customHeight="1">
      <c r="A10" s="166"/>
      <c r="B10" s="386" t="s">
        <v>92</v>
      </c>
      <c r="C10" s="386"/>
      <c r="D10" s="386"/>
      <c r="E10" s="167"/>
      <c r="F10" s="146" t="s">
        <v>87</v>
      </c>
      <c r="G10" s="145"/>
      <c r="H10" s="216">
        <f t="shared" si="0"/>
        <v>0</v>
      </c>
      <c r="I10" s="160">
        <v>0</v>
      </c>
      <c r="J10" s="159">
        <v>0</v>
      </c>
      <c r="K10" s="159">
        <v>0</v>
      </c>
      <c r="L10" s="159">
        <v>0</v>
      </c>
      <c r="M10" s="159">
        <v>0</v>
      </c>
      <c r="N10" s="159">
        <v>0</v>
      </c>
      <c r="O10" s="159">
        <v>0</v>
      </c>
      <c r="P10" s="159">
        <v>0</v>
      </c>
      <c r="Q10" s="159">
        <v>0</v>
      </c>
      <c r="R10" s="159">
        <v>0</v>
      </c>
      <c r="S10" s="159">
        <v>0</v>
      </c>
      <c r="T10" s="159">
        <v>0</v>
      </c>
      <c r="U10" s="159">
        <v>0</v>
      </c>
      <c r="V10" s="159">
        <v>0</v>
      </c>
      <c r="W10" s="159">
        <v>0</v>
      </c>
      <c r="X10" s="158">
        <v>0</v>
      </c>
    </row>
    <row r="11" spans="1:24" ht="15" customHeight="1">
      <c r="A11" s="166"/>
      <c r="B11" s="146" t="s">
        <v>202</v>
      </c>
      <c r="C11" s="195"/>
      <c r="D11" s="194" t="s">
        <v>201</v>
      </c>
      <c r="E11" s="194"/>
      <c r="F11" s="146" t="s">
        <v>39</v>
      </c>
      <c r="G11" s="145"/>
      <c r="H11" s="216">
        <f t="shared" si="0"/>
        <v>425</v>
      </c>
      <c r="I11" s="215">
        <v>8</v>
      </c>
      <c r="J11" s="214">
        <v>1</v>
      </c>
      <c r="K11" s="214">
        <v>38</v>
      </c>
      <c r="L11" s="214">
        <v>48</v>
      </c>
      <c r="M11" s="214">
        <v>90</v>
      </c>
      <c r="N11" s="214">
        <v>0</v>
      </c>
      <c r="O11" s="214">
        <v>0</v>
      </c>
      <c r="P11" s="214">
        <v>0</v>
      </c>
      <c r="Q11" s="214">
        <v>60</v>
      </c>
      <c r="R11" s="214">
        <v>1</v>
      </c>
      <c r="S11" s="214">
        <v>159</v>
      </c>
      <c r="T11" s="214">
        <v>0</v>
      </c>
      <c r="U11" s="214">
        <v>1</v>
      </c>
      <c r="V11" s="214">
        <v>0</v>
      </c>
      <c r="W11" s="214">
        <v>0</v>
      </c>
      <c r="X11" s="213">
        <v>19</v>
      </c>
    </row>
    <row r="12" spans="1:24" ht="15" customHeight="1">
      <c r="A12" s="166"/>
      <c r="B12" s="363" t="s">
        <v>92</v>
      </c>
      <c r="C12" s="363"/>
      <c r="D12" s="363"/>
      <c r="E12" s="167"/>
      <c r="F12" s="146" t="s">
        <v>87</v>
      </c>
      <c r="G12" s="145"/>
      <c r="H12" s="216">
        <f t="shared" si="0"/>
        <v>681</v>
      </c>
      <c r="I12" s="160">
        <v>6</v>
      </c>
      <c r="J12" s="159">
        <v>1</v>
      </c>
      <c r="K12" s="159">
        <v>123</v>
      </c>
      <c r="L12" s="159">
        <v>25</v>
      </c>
      <c r="M12" s="159">
        <v>42</v>
      </c>
      <c r="N12" s="159">
        <v>3</v>
      </c>
      <c r="O12" s="159">
        <v>0</v>
      </c>
      <c r="P12" s="159">
        <v>0</v>
      </c>
      <c r="Q12" s="159">
        <v>4</v>
      </c>
      <c r="R12" s="159">
        <v>4</v>
      </c>
      <c r="S12" s="159">
        <v>0</v>
      </c>
      <c r="T12" s="159">
        <v>13</v>
      </c>
      <c r="U12" s="159">
        <v>2</v>
      </c>
      <c r="V12" s="159">
        <v>0</v>
      </c>
      <c r="W12" s="159">
        <v>0</v>
      </c>
      <c r="X12" s="158">
        <v>458</v>
      </c>
    </row>
    <row r="13" spans="1:24" ht="15" customHeight="1">
      <c r="A13" s="166"/>
      <c r="B13" s="146" t="s">
        <v>200</v>
      </c>
      <c r="C13" s="195"/>
      <c r="D13" s="193" t="s">
        <v>92</v>
      </c>
      <c r="E13" s="194"/>
      <c r="F13" s="146" t="s">
        <v>39</v>
      </c>
      <c r="G13" s="145"/>
      <c r="H13" s="216">
        <f t="shared" si="0"/>
        <v>646</v>
      </c>
      <c r="I13" s="215">
        <v>19</v>
      </c>
      <c r="J13" s="214">
        <v>0</v>
      </c>
      <c r="K13" s="214">
        <v>46</v>
      </c>
      <c r="L13" s="214">
        <v>45</v>
      </c>
      <c r="M13" s="214">
        <v>26</v>
      </c>
      <c r="N13" s="214">
        <v>76</v>
      </c>
      <c r="O13" s="214">
        <v>0</v>
      </c>
      <c r="P13" s="214">
        <v>0</v>
      </c>
      <c r="Q13" s="214">
        <v>0</v>
      </c>
      <c r="R13" s="214">
        <v>0</v>
      </c>
      <c r="S13" s="214">
        <v>12</v>
      </c>
      <c r="T13" s="214">
        <v>0</v>
      </c>
      <c r="U13" s="214">
        <v>0</v>
      </c>
      <c r="V13" s="214">
        <v>1</v>
      </c>
      <c r="W13" s="214">
        <v>0</v>
      </c>
      <c r="X13" s="213">
        <v>421</v>
      </c>
    </row>
    <row r="14" spans="1:24" ht="15" customHeight="1">
      <c r="A14" s="166"/>
      <c r="B14" s="363" t="s">
        <v>92</v>
      </c>
      <c r="C14" s="363"/>
      <c r="D14" s="363"/>
      <c r="E14" s="167"/>
      <c r="F14" s="146" t="s">
        <v>87</v>
      </c>
      <c r="G14" s="145"/>
      <c r="H14" s="216">
        <f t="shared" si="0"/>
        <v>732</v>
      </c>
      <c r="I14" s="160">
        <v>0</v>
      </c>
      <c r="J14" s="159">
        <v>0</v>
      </c>
      <c r="K14" s="159">
        <v>31</v>
      </c>
      <c r="L14" s="159">
        <v>16</v>
      </c>
      <c r="M14" s="159">
        <v>6</v>
      </c>
      <c r="N14" s="159">
        <v>0</v>
      </c>
      <c r="O14" s="159">
        <v>0</v>
      </c>
      <c r="P14" s="159">
        <v>1</v>
      </c>
      <c r="Q14" s="159">
        <v>22</v>
      </c>
      <c r="R14" s="159">
        <v>1</v>
      </c>
      <c r="S14" s="159">
        <v>186</v>
      </c>
      <c r="T14" s="159">
        <v>12</v>
      </c>
      <c r="U14" s="159">
        <v>0</v>
      </c>
      <c r="V14" s="159">
        <v>1</v>
      </c>
      <c r="W14" s="159">
        <v>0</v>
      </c>
      <c r="X14" s="158">
        <v>456</v>
      </c>
    </row>
    <row r="15" spans="1:24" ht="15" customHeight="1">
      <c r="A15" s="166"/>
      <c r="B15" s="146" t="s">
        <v>199</v>
      </c>
      <c r="C15" s="195"/>
      <c r="D15" s="193" t="s">
        <v>92</v>
      </c>
      <c r="E15" s="194"/>
      <c r="F15" s="146" t="s">
        <v>39</v>
      </c>
      <c r="G15" s="145"/>
      <c r="H15" s="216">
        <f t="shared" si="0"/>
        <v>2218</v>
      </c>
      <c r="I15" s="215">
        <v>119</v>
      </c>
      <c r="J15" s="214">
        <v>5</v>
      </c>
      <c r="K15" s="214">
        <v>158</v>
      </c>
      <c r="L15" s="214">
        <v>365</v>
      </c>
      <c r="M15" s="214">
        <v>376</v>
      </c>
      <c r="N15" s="214">
        <v>56</v>
      </c>
      <c r="O15" s="214">
        <v>6</v>
      </c>
      <c r="P15" s="214">
        <v>0</v>
      </c>
      <c r="Q15" s="214">
        <v>167</v>
      </c>
      <c r="R15" s="214">
        <v>35</v>
      </c>
      <c r="S15" s="214">
        <v>53</v>
      </c>
      <c r="T15" s="214">
        <v>0</v>
      </c>
      <c r="U15" s="214">
        <v>2</v>
      </c>
      <c r="V15" s="214">
        <v>6</v>
      </c>
      <c r="W15" s="214">
        <v>0</v>
      </c>
      <c r="X15" s="213">
        <v>870</v>
      </c>
    </row>
    <row r="16" spans="1:24" ht="15" customHeight="1">
      <c r="A16" s="166"/>
      <c r="B16" s="363" t="s">
        <v>92</v>
      </c>
      <c r="C16" s="363"/>
      <c r="D16" s="363"/>
      <c r="E16" s="167"/>
      <c r="F16" s="146" t="s">
        <v>87</v>
      </c>
      <c r="G16" s="145"/>
      <c r="H16" s="216">
        <f t="shared" si="0"/>
        <v>0</v>
      </c>
      <c r="I16" s="160">
        <v>0</v>
      </c>
      <c r="J16" s="159">
        <v>0</v>
      </c>
      <c r="K16" s="159">
        <v>0</v>
      </c>
      <c r="L16" s="159">
        <v>0</v>
      </c>
      <c r="M16" s="159">
        <v>0</v>
      </c>
      <c r="N16" s="159">
        <v>0</v>
      </c>
      <c r="O16" s="159">
        <v>0</v>
      </c>
      <c r="P16" s="159">
        <v>0</v>
      </c>
      <c r="Q16" s="159">
        <v>0</v>
      </c>
      <c r="R16" s="159">
        <v>0</v>
      </c>
      <c r="S16" s="159">
        <v>0</v>
      </c>
      <c r="T16" s="159">
        <v>0</v>
      </c>
      <c r="U16" s="159">
        <v>0</v>
      </c>
      <c r="V16" s="159">
        <v>0</v>
      </c>
      <c r="W16" s="159">
        <v>0</v>
      </c>
      <c r="X16" s="158">
        <v>0</v>
      </c>
    </row>
    <row r="17" spans="1:25" ht="15" customHeight="1">
      <c r="A17" s="166"/>
      <c r="B17" s="146" t="s">
        <v>198</v>
      </c>
      <c r="C17" s="195"/>
      <c r="D17" s="193" t="s">
        <v>92</v>
      </c>
      <c r="E17" s="194"/>
      <c r="F17" s="146" t="s">
        <v>39</v>
      </c>
      <c r="G17" s="145"/>
      <c r="H17" s="216">
        <f t="shared" si="0"/>
        <v>320</v>
      </c>
      <c r="I17" s="215">
        <v>0</v>
      </c>
      <c r="J17" s="214">
        <v>0</v>
      </c>
      <c r="K17" s="214">
        <v>38</v>
      </c>
      <c r="L17" s="214">
        <v>66</v>
      </c>
      <c r="M17" s="214">
        <v>14</v>
      </c>
      <c r="N17" s="214">
        <v>0</v>
      </c>
      <c r="O17" s="214">
        <v>0</v>
      </c>
      <c r="P17" s="214">
        <v>0</v>
      </c>
      <c r="Q17" s="214">
        <v>6</v>
      </c>
      <c r="R17" s="214">
        <v>8</v>
      </c>
      <c r="S17" s="214">
        <v>2</v>
      </c>
      <c r="T17" s="214">
        <v>0</v>
      </c>
      <c r="U17" s="214">
        <v>0</v>
      </c>
      <c r="V17" s="214">
        <v>0</v>
      </c>
      <c r="W17" s="214">
        <v>0</v>
      </c>
      <c r="X17" s="213">
        <v>186</v>
      </c>
    </row>
    <row r="18" spans="1:25" ht="15" customHeight="1">
      <c r="A18" s="166"/>
      <c r="B18" s="363" t="s">
        <v>92</v>
      </c>
      <c r="C18" s="363"/>
      <c r="D18" s="363"/>
      <c r="E18" s="167"/>
      <c r="F18" s="146" t="s">
        <v>87</v>
      </c>
      <c r="G18" s="162"/>
      <c r="H18" s="216">
        <f t="shared" si="0"/>
        <v>0</v>
      </c>
      <c r="I18" s="160">
        <v>0</v>
      </c>
      <c r="J18" s="159">
        <v>0</v>
      </c>
      <c r="K18" s="159">
        <v>0</v>
      </c>
      <c r="L18" s="159">
        <v>0</v>
      </c>
      <c r="M18" s="159">
        <v>0</v>
      </c>
      <c r="N18" s="159">
        <v>0</v>
      </c>
      <c r="O18" s="159">
        <v>0</v>
      </c>
      <c r="P18" s="159">
        <v>0</v>
      </c>
      <c r="Q18" s="159">
        <v>0</v>
      </c>
      <c r="R18" s="159">
        <v>0</v>
      </c>
      <c r="S18" s="159">
        <v>0</v>
      </c>
      <c r="T18" s="159">
        <v>0</v>
      </c>
      <c r="U18" s="159">
        <v>0</v>
      </c>
      <c r="V18" s="159">
        <v>0</v>
      </c>
      <c r="W18" s="159">
        <v>0</v>
      </c>
      <c r="X18" s="158">
        <v>0</v>
      </c>
    </row>
    <row r="19" spans="1:25" ht="15" customHeight="1">
      <c r="A19" s="166"/>
      <c r="B19" s="146" t="s">
        <v>197</v>
      </c>
      <c r="C19" s="195"/>
      <c r="D19" s="193" t="s">
        <v>92</v>
      </c>
      <c r="E19" s="194"/>
      <c r="F19" s="146" t="s">
        <v>39</v>
      </c>
      <c r="G19" s="162"/>
      <c r="H19" s="216">
        <f t="shared" si="0"/>
        <v>514</v>
      </c>
      <c r="I19" s="215">
        <v>37</v>
      </c>
      <c r="J19" s="214">
        <v>31</v>
      </c>
      <c r="K19" s="214">
        <v>21</v>
      </c>
      <c r="L19" s="214">
        <v>135</v>
      </c>
      <c r="M19" s="214">
        <v>42</v>
      </c>
      <c r="N19" s="214">
        <v>0</v>
      </c>
      <c r="O19" s="214">
        <v>0</v>
      </c>
      <c r="P19" s="214">
        <v>0</v>
      </c>
      <c r="Q19" s="214">
        <v>0</v>
      </c>
      <c r="R19" s="214">
        <v>41</v>
      </c>
      <c r="S19" s="214">
        <v>141</v>
      </c>
      <c r="T19" s="214">
        <v>13</v>
      </c>
      <c r="U19" s="214">
        <v>0</v>
      </c>
      <c r="V19" s="214">
        <v>0</v>
      </c>
      <c r="W19" s="214">
        <v>0</v>
      </c>
      <c r="X19" s="213">
        <v>53</v>
      </c>
    </row>
    <row r="20" spans="1:25" ht="15" customHeight="1">
      <c r="A20" s="166"/>
      <c r="B20" s="363" t="s">
        <v>92</v>
      </c>
      <c r="C20" s="363"/>
      <c r="D20" s="363"/>
      <c r="E20" s="167"/>
      <c r="F20" s="146" t="s">
        <v>87</v>
      </c>
      <c r="G20" s="162"/>
      <c r="H20" s="216">
        <f t="shared" si="0"/>
        <v>0</v>
      </c>
      <c r="I20" s="160">
        <v>0</v>
      </c>
      <c r="J20" s="159">
        <v>0</v>
      </c>
      <c r="K20" s="159">
        <v>0</v>
      </c>
      <c r="L20" s="159">
        <v>0</v>
      </c>
      <c r="M20" s="159">
        <v>0</v>
      </c>
      <c r="N20" s="159">
        <v>0</v>
      </c>
      <c r="O20" s="159">
        <v>0</v>
      </c>
      <c r="P20" s="159">
        <v>0</v>
      </c>
      <c r="Q20" s="159">
        <v>0</v>
      </c>
      <c r="R20" s="159">
        <v>0</v>
      </c>
      <c r="S20" s="159">
        <v>0</v>
      </c>
      <c r="T20" s="159">
        <v>0</v>
      </c>
      <c r="U20" s="159">
        <v>0</v>
      </c>
      <c r="V20" s="159">
        <v>0</v>
      </c>
      <c r="W20" s="159">
        <v>0</v>
      </c>
      <c r="X20" s="158">
        <v>0</v>
      </c>
    </row>
    <row r="21" spans="1:25" ht="15" customHeight="1">
      <c r="A21" s="166"/>
      <c r="B21" s="146" t="s">
        <v>196</v>
      </c>
      <c r="C21" s="195"/>
      <c r="D21" s="193" t="s">
        <v>92</v>
      </c>
      <c r="E21" s="194"/>
      <c r="F21" s="146" t="s">
        <v>39</v>
      </c>
      <c r="G21" s="162"/>
      <c r="H21" s="216">
        <f t="shared" si="0"/>
        <v>247</v>
      </c>
      <c r="I21" s="215">
        <v>10</v>
      </c>
      <c r="J21" s="214">
        <v>19</v>
      </c>
      <c r="K21" s="214">
        <v>12</v>
      </c>
      <c r="L21" s="214">
        <v>68</v>
      </c>
      <c r="M21" s="214">
        <v>0</v>
      </c>
      <c r="N21" s="214">
        <v>1</v>
      </c>
      <c r="O21" s="214">
        <v>1</v>
      </c>
      <c r="P21" s="214">
        <v>0</v>
      </c>
      <c r="Q21" s="214">
        <v>0</v>
      </c>
      <c r="R21" s="214">
        <v>8</v>
      </c>
      <c r="S21" s="214">
        <v>36</v>
      </c>
      <c r="T21" s="214">
        <v>0</v>
      </c>
      <c r="U21" s="214">
        <v>0</v>
      </c>
      <c r="V21" s="214">
        <v>0</v>
      </c>
      <c r="W21" s="214">
        <v>0</v>
      </c>
      <c r="X21" s="213">
        <v>92</v>
      </c>
    </row>
    <row r="22" spans="1:25" ht="15" customHeight="1">
      <c r="A22" s="166"/>
      <c r="B22" s="363" t="s">
        <v>92</v>
      </c>
      <c r="C22" s="363"/>
      <c r="D22" s="363"/>
      <c r="E22" s="167"/>
      <c r="F22" s="146" t="s">
        <v>87</v>
      </c>
      <c r="G22" s="162"/>
      <c r="H22" s="216">
        <f t="shared" si="0"/>
        <v>0</v>
      </c>
      <c r="I22" s="160">
        <v>0</v>
      </c>
      <c r="J22" s="159">
        <v>0</v>
      </c>
      <c r="K22" s="159">
        <v>0</v>
      </c>
      <c r="L22" s="159">
        <v>0</v>
      </c>
      <c r="M22" s="159">
        <v>0</v>
      </c>
      <c r="N22" s="159">
        <v>0</v>
      </c>
      <c r="O22" s="159">
        <v>0</v>
      </c>
      <c r="P22" s="159">
        <v>0</v>
      </c>
      <c r="Q22" s="159">
        <v>0</v>
      </c>
      <c r="R22" s="159">
        <v>0</v>
      </c>
      <c r="S22" s="159">
        <v>0</v>
      </c>
      <c r="T22" s="159">
        <v>0</v>
      </c>
      <c r="U22" s="159">
        <v>0</v>
      </c>
      <c r="V22" s="159">
        <v>0</v>
      </c>
      <c r="W22" s="159">
        <v>0</v>
      </c>
      <c r="X22" s="158">
        <v>0</v>
      </c>
    </row>
    <row r="23" spans="1:25" ht="15" customHeight="1">
      <c r="A23" s="166"/>
      <c r="B23" s="146" t="s">
        <v>195</v>
      </c>
      <c r="C23" s="195"/>
      <c r="D23" s="193" t="s">
        <v>92</v>
      </c>
      <c r="E23" s="194"/>
      <c r="F23" s="146" t="s">
        <v>39</v>
      </c>
      <c r="G23" s="162"/>
      <c r="H23" s="216">
        <f t="shared" si="0"/>
        <v>828</v>
      </c>
      <c r="I23" s="215">
        <v>55</v>
      </c>
      <c r="J23" s="214">
        <v>159</v>
      </c>
      <c r="K23" s="214">
        <v>141</v>
      </c>
      <c r="L23" s="214">
        <v>135</v>
      </c>
      <c r="M23" s="214">
        <v>55</v>
      </c>
      <c r="N23" s="214">
        <v>0</v>
      </c>
      <c r="O23" s="214">
        <v>0</v>
      </c>
      <c r="P23" s="214">
        <v>0</v>
      </c>
      <c r="Q23" s="214">
        <v>0</v>
      </c>
      <c r="R23" s="214">
        <v>0</v>
      </c>
      <c r="S23" s="214">
        <v>124</v>
      </c>
      <c r="T23" s="214">
        <v>38</v>
      </c>
      <c r="U23" s="214">
        <v>0</v>
      </c>
      <c r="V23" s="214">
        <v>0</v>
      </c>
      <c r="W23" s="214">
        <v>0</v>
      </c>
      <c r="X23" s="213">
        <v>121</v>
      </c>
    </row>
    <row r="24" spans="1:25" ht="15" customHeight="1">
      <c r="A24" s="166"/>
      <c r="B24" s="363" t="s">
        <v>92</v>
      </c>
      <c r="C24" s="363"/>
      <c r="D24" s="363"/>
      <c r="E24" s="167"/>
      <c r="F24" s="146" t="s">
        <v>87</v>
      </c>
      <c r="G24" s="162"/>
      <c r="H24" s="216">
        <f t="shared" si="0"/>
        <v>0</v>
      </c>
      <c r="I24" s="160">
        <v>0</v>
      </c>
      <c r="J24" s="159">
        <v>0</v>
      </c>
      <c r="K24" s="159">
        <v>0</v>
      </c>
      <c r="L24" s="159">
        <v>0</v>
      </c>
      <c r="M24" s="159">
        <v>0</v>
      </c>
      <c r="N24" s="159">
        <v>0</v>
      </c>
      <c r="O24" s="159">
        <v>0</v>
      </c>
      <c r="P24" s="159">
        <v>0</v>
      </c>
      <c r="Q24" s="159">
        <v>0</v>
      </c>
      <c r="R24" s="159">
        <v>0</v>
      </c>
      <c r="S24" s="159">
        <v>0</v>
      </c>
      <c r="T24" s="159">
        <v>0</v>
      </c>
      <c r="U24" s="159">
        <v>0</v>
      </c>
      <c r="V24" s="159">
        <v>0</v>
      </c>
      <c r="W24" s="159">
        <v>0</v>
      </c>
      <c r="X24" s="158">
        <v>0</v>
      </c>
    </row>
    <row r="25" spans="1:25" ht="15" customHeight="1">
      <c r="A25" s="166"/>
      <c r="B25" s="146" t="s">
        <v>194</v>
      </c>
      <c r="C25" s="195"/>
      <c r="D25" s="193" t="s">
        <v>92</v>
      </c>
      <c r="E25" s="194"/>
      <c r="F25" s="146" t="s">
        <v>39</v>
      </c>
      <c r="G25" s="162"/>
      <c r="H25" s="216">
        <f t="shared" si="0"/>
        <v>273</v>
      </c>
      <c r="I25" s="215">
        <v>9</v>
      </c>
      <c r="J25" s="214">
        <v>2</v>
      </c>
      <c r="K25" s="214">
        <v>51</v>
      </c>
      <c r="L25" s="214">
        <v>66</v>
      </c>
      <c r="M25" s="214">
        <v>71</v>
      </c>
      <c r="N25" s="214">
        <v>0</v>
      </c>
      <c r="O25" s="214">
        <v>0</v>
      </c>
      <c r="P25" s="214">
        <v>1</v>
      </c>
      <c r="Q25" s="214">
        <v>1</v>
      </c>
      <c r="R25" s="214">
        <v>0</v>
      </c>
      <c r="S25" s="214">
        <v>50</v>
      </c>
      <c r="T25" s="214">
        <v>16</v>
      </c>
      <c r="U25" s="214">
        <v>0</v>
      </c>
      <c r="V25" s="214">
        <v>0</v>
      </c>
      <c r="W25" s="214">
        <v>1</v>
      </c>
      <c r="X25" s="213">
        <v>5</v>
      </c>
    </row>
    <row r="26" spans="1:25" ht="15" customHeight="1">
      <c r="A26" s="166"/>
      <c r="B26" s="363" t="s">
        <v>92</v>
      </c>
      <c r="C26" s="363"/>
      <c r="D26" s="363"/>
      <c r="E26" s="167"/>
      <c r="F26" s="146" t="s">
        <v>87</v>
      </c>
      <c r="G26" s="162"/>
      <c r="H26" s="216">
        <f t="shared" si="0"/>
        <v>319</v>
      </c>
      <c r="I26" s="160">
        <v>5</v>
      </c>
      <c r="J26" s="159">
        <v>1</v>
      </c>
      <c r="K26" s="159">
        <v>42</v>
      </c>
      <c r="L26" s="159">
        <v>33</v>
      </c>
      <c r="M26" s="159">
        <v>100</v>
      </c>
      <c r="N26" s="159">
        <v>0</v>
      </c>
      <c r="O26" s="159">
        <v>1</v>
      </c>
      <c r="P26" s="159">
        <v>0</v>
      </c>
      <c r="Q26" s="159">
        <v>5</v>
      </c>
      <c r="R26" s="159">
        <v>1</v>
      </c>
      <c r="S26" s="159">
        <v>60</v>
      </c>
      <c r="T26" s="159">
        <v>10</v>
      </c>
      <c r="U26" s="159">
        <v>4</v>
      </c>
      <c r="V26" s="159">
        <v>0</v>
      </c>
      <c r="W26" s="159">
        <v>1</v>
      </c>
      <c r="X26" s="158">
        <v>56</v>
      </c>
    </row>
    <row r="27" spans="1:25" ht="15" customHeight="1">
      <c r="A27" s="166"/>
      <c r="B27" s="146" t="s">
        <v>193</v>
      </c>
      <c r="C27" s="195"/>
      <c r="D27" s="193" t="s">
        <v>92</v>
      </c>
      <c r="E27" s="194"/>
      <c r="F27" s="146" t="s">
        <v>39</v>
      </c>
      <c r="G27" s="162"/>
      <c r="H27" s="216">
        <f t="shared" si="0"/>
        <v>1040</v>
      </c>
      <c r="I27" s="215">
        <v>44</v>
      </c>
      <c r="J27" s="214">
        <v>0</v>
      </c>
      <c r="K27" s="214">
        <v>53</v>
      </c>
      <c r="L27" s="214">
        <v>104</v>
      </c>
      <c r="M27" s="214">
        <v>178</v>
      </c>
      <c r="N27" s="214">
        <v>189</v>
      </c>
      <c r="O27" s="214">
        <v>7</v>
      </c>
      <c r="P27" s="214">
        <v>1</v>
      </c>
      <c r="Q27" s="214">
        <v>197</v>
      </c>
      <c r="R27" s="214">
        <v>2</v>
      </c>
      <c r="S27" s="214">
        <v>5</v>
      </c>
      <c r="T27" s="214">
        <v>0</v>
      </c>
      <c r="U27" s="214">
        <v>21</v>
      </c>
      <c r="V27" s="214">
        <v>3</v>
      </c>
      <c r="W27" s="214">
        <v>0</v>
      </c>
      <c r="X27" s="213">
        <v>236</v>
      </c>
    </row>
    <row r="28" spans="1:25" ht="15" customHeight="1">
      <c r="A28" s="166"/>
      <c r="B28" s="363" t="s">
        <v>92</v>
      </c>
      <c r="C28" s="363"/>
      <c r="D28" s="363"/>
      <c r="E28" s="167"/>
      <c r="F28" s="146" t="s">
        <v>87</v>
      </c>
      <c r="G28" s="162"/>
      <c r="H28" s="216">
        <f t="shared" si="0"/>
        <v>286</v>
      </c>
      <c r="I28" s="160">
        <v>15</v>
      </c>
      <c r="J28" s="159">
        <v>0</v>
      </c>
      <c r="K28" s="159">
        <v>45</v>
      </c>
      <c r="L28" s="159">
        <v>38</v>
      </c>
      <c r="M28" s="159">
        <v>93</v>
      </c>
      <c r="N28" s="159">
        <v>0</v>
      </c>
      <c r="O28" s="159">
        <v>0</v>
      </c>
      <c r="P28" s="159">
        <v>0</v>
      </c>
      <c r="Q28" s="159">
        <v>4</v>
      </c>
      <c r="R28" s="159">
        <v>0</v>
      </c>
      <c r="S28" s="159">
        <v>0</v>
      </c>
      <c r="T28" s="159">
        <v>5</v>
      </c>
      <c r="U28" s="159">
        <v>24</v>
      </c>
      <c r="V28" s="159">
        <v>0</v>
      </c>
      <c r="W28" s="159">
        <v>1</v>
      </c>
      <c r="X28" s="158">
        <v>61</v>
      </c>
    </row>
    <row r="29" spans="1:25" ht="15" customHeight="1">
      <c r="A29" s="166"/>
      <c r="B29" s="146" t="s">
        <v>192</v>
      </c>
      <c r="C29" s="195"/>
      <c r="D29" s="193" t="s">
        <v>92</v>
      </c>
      <c r="E29" s="194"/>
      <c r="F29" s="146" t="s">
        <v>39</v>
      </c>
      <c r="G29" s="162"/>
      <c r="H29" s="216">
        <f t="shared" si="0"/>
        <v>407</v>
      </c>
      <c r="I29" s="215">
        <v>1</v>
      </c>
      <c r="J29" s="214">
        <v>22</v>
      </c>
      <c r="K29" s="214">
        <v>50</v>
      </c>
      <c r="L29" s="214">
        <v>62</v>
      </c>
      <c r="M29" s="214">
        <v>7</v>
      </c>
      <c r="N29" s="214">
        <v>0</v>
      </c>
      <c r="O29" s="214">
        <v>0</v>
      </c>
      <c r="P29" s="214">
        <v>0</v>
      </c>
      <c r="Q29" s="214">
        <v>0</v>
      </c>
      <c r="R29" s="214">
        <v>2</v>
      </c>
      <c r="S29" s="214">
        <v>13</v>
      </c>
      <c r="T29" s="214">
        <v>0</v>
      </c>
      <c r="U29" s="214">
        <v>0</v>
      </c>
      <c r="V29" s="214">
        <v>0</v>
      </c>
      <c r="W29" s="214">
        <v>0</v>
      </c>
      <c r="X29" s="213">
        <v>250</v>
      </c>
    </row>
    <row r="30" spans="1:25" ht="15" customHeight="1">
      <c r="A30" s="166"/>
      <c r="B30" s="363" t="s">
        <v>92</v>
      </c>
      <c r="C30" s="363"/>
      <c r="D30" s="363"/>
      <c r="E30" s="167"/>
      <c r="F30" s="146" t="s">
        <v>87</v>
      </c>
      <c r="G30" s="162"/>
      <c r="H30" s="216">
        <f t="shared" si="0"/>
        <v>384</v>
      </c>
      <c r="I30" s="160">
        <v>6</v>
      </c>
      <c r="J30" s="159">
        <v>0</v>
      </c>
      <c r="K30" s="159">
        <v>62</v>
      </c>
      <c r="L30" s="159">
        <v>68</v>
      </c>
      <c r="M30" s="159">
        <v>32</v>
      </c>
      <c r="N30" s="159">
        <v>0</v>
      </c>
      <c r="O30" s="159">
        <v>0</v>
      </c>
      <c r="P30" s="159">
        <v>47</v>
      </c>
      <c r="Q30" s="159">
        <v>1</v>
      </c>
      <c r="R30" s="159">
        <v>0</v>
      </c>
      <c r="S30" s="159">
        <v>2</v>
      </c>
      <c r="T30" s="159">
        <v>0</v>
      </c>
      <c r="U30" s="159">
        <v>0</v>
      </c>
      <c r="V30" s="159">
        <v>0</v>
      </c>
      <c r="W30" s="159">
        <v>0</v>
      </c>
      <c r="X30" s="158">
        <v>166</v>
      </c>
    </row>
    <row r="31" spans="1:25" ht="15" customHeight="1">
      <c r="A31" s="166"/>
      <c r="B31" s="146" t="s">
        <v>191</v>
      </c>
      <c r="C31" s="195"/>
      <c r="D31" s="193" t="s">
        <v>92</v>
      </c>
      <c r="E31" s="194"/>
      <c r="F31" s="146" t="s">
        <v>39</v>
      </c>
      <c r="G31" s="162"/>
      <c r="H31" s="216">
        <f t="shared" si="0"/>
        <v>493</v>
      </c>
      <c r="I31" s="215">
        <v>3</v>
      </c>
      <c r="J31" s="214">
        <v>31</v>
      </c>
      <c r="K31" s="214">
        <v>121</v>
      </c>
      <c r="L31" s="214">
        <v>67</v>
      </c>
      <c r="M31" s="214">
        <v>240</v>
      </c>
      <c r="N31" s="214">
        <v>0</v>
      </c>
      <c r="O31" s="214">
        <v>0</v>
      </c>
      <c r="P31" s="214">
        <v>0</v>
      </c>
      <c r="Q31" s="214">
        <v>2</v>
      </c>
      <c r="R31" s="214">
        <v>0</v>
      </c>
      <c r="S31" s="214">
        <v>14</v>
      </c>
      <c r="T31" s="214">
        <v>0</v>
      </c>
      <c r="U31" s="214">
        <v>0</v>
      </c>
      <c r="V31" s="214">
        <v>0</v>
      </c>
      <c r="W31" s="214">
        <v>0</v>
      </c>
      <c r="X31" s="213">
        <v>15</v>
      </c>
      <c r="Y31" s="206"/>
    </row>
    <row r="32" spans="1:25" ht="15" customHeight="1" thickBot="1">
      <c r="A32" s="157"/>
      <c r="B32" s="364" t="s">
        <v>92</v>
      </c>
      <c r="C32" s="364"/>
      <c r="D32" s="364"/>
      <c r="E32" s="156"/>
      <c r="F32" s="155" t="s">
        <v>87</v>
      </c>
      <c r="G32" s="154"/>
      <c r="H32" s="212">
        <f t="shared" si="0"/>
        <v>14106</v>
      </c>
      <c r="I32" s="152">
        <v>3</v>
      </c>
      <c r="J32" s="151">
        <v>93</v>
      </c>
      <c r="K32" s="151">
        <v>129</v>
      </c>
      <c r="L32" s="151">
        <v>79</v>
      </c>
      <c r="M32" s="151">
        <v>92</v>
      </c>
      <c r="N32" s="151">
        <v>0</v>
      </c>
      <c r="O32" s="151">
        <v>0</v>
      </c>
      <c r="P32" s="151">
        <v>0</v>
      </c>
      <c r="Q32" s="151">
        <v>0</v>
      </c>
      <c r="R32" s="151">
        <v>0</v>
      </c>
      <c r="S32" s="151">
        <v>45</v>
      </c>
      <c r="T32" s="151">
        <v>1</v>
      </c>
      <c r="U32" s="151">
        <v>0</v>
      </c>
      <c r="V32" s="151">
        <v>0</v>
      </c>
      <c r="W32" s="151">
        <v>0</v>
      </c>
      <c r="X32" s="150">
        <v>13664</v>
      </c>
      <c r="Y32" s="143"/>
    </row>
    <row r="33" spans="1:27" s="143" customFormat="1" ht="9.1999999999999993" customHeight="1" thickBot="1">
      <c r="A33" s="188"/>
      <c r="B33" s="187"/>
      <c r="C33" s="187"/>
      <c r="D33" s="187"/>
      <c r="E33" s="187"/>
      <c r="F33" s="187"/>
      <c r="G33" s="187"/>
      <c r="H33" s="186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  <c r="X33" s="185"/>
    </row>
    <row r="34" spans="1:27" s="143" customFormat="1" ht="54" customHeight="1">
      <c r="A34" s="366" t="s">
        <v>91</v>
      </c>
      <c r="B34" s="367"/>
      <c r="C34" s="367"/>
      <c r="D34" s="367"/>
      <c r="E34" s="367"/>
      <c r="F34" s="367"/>
      <c r="G34" s="368"/>
      <c r="H34" s="184" t="s">
        <v>16</v>
      </c>
      <c r="I34" s="183" t="s">
        <v>15</v>
      </c>
      <c r="J34" s="181" t="s">
        <v>14</v>
      </c>
      <c r="K34" s="181" t="s">
        <v>13</v>
      </c>
      <c r="L34" s="181" t="s">
        <v>12</v>
      </c>
      <c r="M34" s="181" t="s">
        <v>11</v>
      </c>
      <c r="N34" s="181" t="s">
        <v>10</v>
      </c>
      <c r="O34" s="181" t="s">
        <v>9</v>
      </c>
      <c r="P34" s="181" t="s">
        <v>8</v>
      </c>
      <c r="Q34" s="181" t="s">
        <v>7</v>
      </c>
      <c r="R34" s="181" t="s">
        <v>6</v>
      </c>
      <c r="S34" s="182" t="s">
        <v>5</v>
      </c>
      <c r="T34" s="181" t="s">
        <v>4</v>
      </c>
      <c r="U34" s="181" t="s">
        <v>3</v>
      </c>
      <c r="V34" s="181" t="s">
        <v>2</v>
      </c>
      <c r="W34" s="181" t="s">
        <v>1</v>
      </c>
      <c r="X34" s="180" t="s">
        <v>0</v>
      </c>
    </row>
    <row r="35" spans="1:27" s="143" customFormat="1" ht="9.1999999999999993" customHeight="1" thickBot="1">
      <c r="A35" s="369"/>
      <c r="B35" s="370"/>
      <c r="C35" s="370"/>
      <c r="D35" s="370"/>
      <c r="E35" s="370"/>
      <c r="F35" s="370"/>
      <c r="G35" s="371"/>
      <c r="H35" s="179"/>
      <c r="I35" s="178"/>
      <c r="J35" s="176"/>
      <c r="K35" s="176"/>
      <c r="L35" s="176"/>
      <c r="M35" s="176"/>
      <c r="N35" s="176"/>
      <c r="O35" s="176"/>
      <c r="P35" s="176"/>
      <c r="Q35" s="176"/>
      <c r="R35" s="176"/>
      <c r="S35" s="177"/>
      <c r="T35" s="176"/>
      <c r="U35" s="176"/>
      <c r="V35" s="176"/>
      <c r="W35" s="176"/>
      <c r="X35" s="175"/>
    </row>
    <row r="36" spans="1:27" s="143" customFormat="1" ht="14.1" customHeight="1">
      <c r="A36" s="174"/>
      <c r="B36" s="365"/>
      <c r="C36" s="365"/>
      <c r="D36" s="365"/>
      <c r="E36" s="365"/>
      <c r="F36" s="365"/>
      <c r="G36" s="173"/>
      <c r="H36" s="172" t="s">
        <v>34</v>
      </c>
      <c r="I36" s="211" t="s">
        <v>34</v>
      </c>
      <c r="J36" s="170" t="s">
        <v>34</v>
      </c>
      <c r="K36" s="170" t="s">
        <v>34</v>
      </c>
      <c r="L36" s="170" t="s">
        <v>34</v>
      </c>
      <c r="M36" s="170" t="s">
        <v>34</v>
      </c>
      <c r="N36" s="170" t="s">
        <v>34</v>
      </c>
      <c r="O36" s="170" t="s">
        <v>34</v>
      </c>
      <c r="P36" s="170" t="s">
        <v>34</v>
      </c>
      <c r="Q36" s="170" t="s">
        <v>34</v>
      </c>
      <c r="R36" s="170" t="s">
        <v>34</v>
      </c>
      <c r="S36" s="170" t="s">
        <v>34</v>
      </c>
      <c r="T36" s="170" t="s">
        <v>34</v>
      </c>
      <c r="U36" s="170" t="s">
        <v>34</v>
      </c>
      <c r="V36" s="170" t="s">
        <v>34</v>
      </c>
      <c r="W36" s="170" t="s">
        <v>34</v>
      </c>
      <c r="X36" s="169" t="s">
        <v>34</v>
      </c>
      <c r="Y36" s="140"/>
    </row>
    <row r="37" spans="1:27" ht="15" customHeight="1">
      <c r="A37" s="166"/>
      <c r="B37" s="146" t="s">
        <v>190</v>
      </c>
      <c r="C37" s="195"/>
      <c r="D37" s="194" t="s">
        <v>111</v>
      </c>
      <c r="E37" s="194"/>
      <c r="F37" s="146" t="s">
        <v>39</v>
      </c>
      <c r="G37" s="162"/>
      <c r="H37" s="161">
        <f t="shared" ref="H37:H66" si="3">SUM(I37:X37)</f>
        <v>157</v>
      </c>
      <c r="I37" s="191">
        <v>2</v>
      </c>
      <c r="J37" s="191">
        <v>0</v>
      </c>
      <c r="K37" s="191">
        <v>0</v>
      </c>
      <c r="L37" s="191">
        <v>12</v>
      </c>
      <c r="M37" s="191">
        <v>66</v>
      </c>
      <c r="N37" s="191">
        <v>7</v>
      </c>
      <c r="O37" s="191">
        <v>1</v>
      </c>
      <c r="P37" s="191">
        <v>30</v>
      </c>
      <c r="Q37" s="191">
        <v>14</v>
      </c>
      <c r="R37" s="191">
        <v>0</v>
      </c>
      <c r="S37" s="191">
        <v>5</v>
      </c>
      <c r="T37" s="191">
        <v>0</v>
      </c>
      <c r="U37" s="191">
        <v>8</v>
      </c>
      <c r="V37" s="191">
        <v>0</v>
      </c>
      <c r="W37" s="191">
        <v>0</v>
      </c>
      <c r="X37" s="190">
        <v>12</v>
      </c>
    </row>
    <row r="38" spans="1:27" ht="15" customHeight="1">
      <c r="A38" s="166"/>
      <c r="B38" s="363" t="s">
        <v>160</v>
      </c>
      <c r="C38" s="363"/>
      <c r="D38" s="363"/>
      <c r="E38" s="167"/>
      <c r="F38" s="146" t="s">
        <v>87</v>
      </c>
      <c r="G38" s="162"/>
      <c r="H38" s="161">
        <f t="shared" si="3"/>
        <v>0</v>
      </c>
      <c r="I38" s="189">
        <v>0</v>
      </c>
      <c r="J38" s="159">
        <v>0</v>
      </c>
      <c r="K38" s="159">
        <v>0</v>
      </c>
      <c r="L38" s="159">
        <v>0</v>
      </c>
      <c r="M38" s="159">
        <v>0</v>
      </c>
      <c r="N38" s="159">
        <v>0</v>
      </c>
      <c r="O38" s="159">
        <v>0</v>
      </c>
      <c r="P38" s="159">
        <v>0</v>
      </c>
      <c r="Q38" s="159">
        <v>0</v>
      </c>
      <c r="R38" s="159">
        <v>0</v>
      </c>
      <c r="S38" s="159">
        <v>0</v>
      </c>
      <c r="T38" s="159">
        <v>0</v>
      </c>
      <c r="U38" s="159">
        <v>0</v>
      </c>
      <c r="V38" s="159">
        <v>0</v>
      </c>
      <c r="W38" s="159">
        <v>0</v>
      </c>
      <c r="X38" s="158">
        <v>0</v>
      </c>
    </row>
    <row r="39" spans="1:27" ht="15" customHeight="1">
      <c r="A39" s="166"/>
      <c r="B39" s="146" t="s">
        <v>189</v>
      </c>
      <c r="C39" s="200"/>
      <c r="D39" s="193" t="s">
        <v>142</v>
      </c>
      <c r="E39" s="198"/>
      <c r="F39" s="146" t="s">
        <v>39</v>
      </c>
      <c r="G39" s="162"/>
      <c r="H39" s="161">
        <f t="shared" si="3"/>
        <v>87</v>
      </c>
      <c r="I39" s="191">
        <v>2</v>
      </c>
      <c r="J39" s="191">
        <v>0</v>
      </c>
      <c r="K39" s="191">
        <v>0</v>
      </c>
      <c r="L39" s="191">
        <v>4</v>
      </c>
      <c r="M39" s="191">
        <v>46</v>
      </c>
      <c r="N39" s="191">
        <v>11</v>
      </c>
      <c r="O39" s="191">
        <v>2</v>
      </c>
      <c r="P39" s="191">
        <v>6</v>
      </c>
      <c r="Q39" s="191">
        <v>3</v>
      </c>
      <c r="R39" s="191">
        <v>0</v>
      </c>
      <c r="S39" s="191">
        <v>1</v>
      </c>
      <c r="T39" s="191">
        <v>0</v>
      </c>
      <c r="U39" s="191">
        <v>3</v>
      </c>
      <c r="V39" s="191">
        <v>0</v>
      </c>
      <c r="W39" s="191">
        <v>0</v>
      </c>
      <c r="X39" s="190">
        <v>9</v>
      </c>
    </row>
    <row r="40" spans="1:27" ht="15" customHeight="1">
      <c r="A40" s="166"/>
      <c r="B40" s="363" t="s">
        <v>142</v>
      </c>
      <c r="C40" s="363"/>
      <c r="D40" s="363"/>
      <c r="E40" s="167"/>
      <c r="F40" s="146" t="s">
        <v>87</v>
      </c>
      <c r="G40" s="162"/>
      <c r="H40" s="161">
        <f t="shared" si="3"/>
        <v>0</v>
      </c>
      <c r="I40" s="189">
        <v>0</v>
      </c>
      <c r="J40" s="159">
        <v>0</v>
      </c>
      <c r="K40" s="159">
        <v>0</v>
      </c>
      <c r="L40" s="159">
        <v>0</v>
      </c>
      <c r="M40" s="159">
        <v>0</v>
      </c>
      <c r="N40" s="159">
        <v>0</v>
      </c>
      <c r="O40" s="159">
        <v>0</v>
      </c>
      <c r="P40" s="159">
        <v>0</v>
      </c>
      <c r="Q40" s="159">
        <v>0</v>
      </c>
      <c r="R40" s="159">
        <v>0</v>
      </c>
      <c r="S40" s="159">
        <v>0</v>
      </c>
      <c r="T40" s="159">
        <v>0</v>
      </c>
      <c r="U40" s="159">
        <v>0</v>
      </c>
      <c r="V40" s="159">
        <v>0</v>
      </c>
      <c r="W40" s="159">
        <v>0</v>
      </c>
      <c r="X40" s="158">
        <v>0</v>
      </c>
    </row>
    <row r="41" spans="1:27" ht="15" customHeight="1">
      <c r="A41" s="166"/>
      <c r="B41" s="146" t="s">
        <v>188</v>
      </c>
      <c r="C41" s="195"/>
      <c r="D41" s="193" t="s">
        <v>142</v>
      </c>
      <c r="E41" s="198"/>
      <c r="F41" s="146" t="s">
        <v>39</v>
      </c>
      <c r="G41" s="162"/>
      <c r="H41" s="161">
        <f t="shared" si="3"/>
        <v>141</v>
      </c>
      <c r="I41" s="191">
        <v>3</v>
      </c>
      <c r="J41" s="191">
        <v>0</v>
      </c>
      <c r="K41" s="191">
        <v>2</v>
      </c>
      <c r="L41" s="191">
        <v>10</v>
      </c>
      <c r="M41" s="191">
        <v>43</v>
      </c>
      <c r="N41" s="191">
        <v>36</v>
      </c>
      <c r="O41" s="191">
        <v>1</v>
      </c>
      <c r="P41" s="191">
        <v>9</v>
      </c>
      <c r="Q41" s="191">
        <v>18</v>
      </c>
      <c r="R41" s="191">
        <v>3</v>
      </c>
      <c r="S41" s="191">
        <v>4</v>
      </c>
      <c r="T41" s="191">
        <v>0</v>
      </c>
      <c r="U41" s="191">
        <v>1</v>
      </c>
      <c r="V41" s="191">
        <v>0</v>
      </c>
      <c r="W41" s="191">
        <v>0</v>
      </c>
      <c r="X41" s="190">
        <v>11</v>
      </c>
      <c r="Y41" s="206"/>
    </row>
    <row r="42" spans="1:27" ht="15" customHeight="1">
      <c r="A42" s="166"/>
      <c r="B42" s="363" t="s">
        <v>142</v>
      </c>
      <c r="C42" s="363"/>
      <c r="D42" s="363"/>
      <c r="E42" s="167"/>
      <c r="F42" s="146" t="s">
        <v>87</v>
      </c>
      <c r="G42" s="162"/>
      <c r="H42" s="161">
        <f t="shared" si="3"/>
        <v>22</v>
      </c>
      <c r="I42" s="160">
        <v>0</v>
      </c>
      <c r="J42" s="159">
        <v>0</v>
      </c>
      <c r="K42" s="159">
        <v>0</v>
      </c>
      <c r="L42" s="159">
        <v>0</v>
      </c>
      <c r="M42" s="159">
        <v>0</v>
      </c>
      <c r="N42" s="159">
        <v>0</v>
      </c>
      <c r="O42" s="159">
        <v>0</v>
      </c>
      <c r="P42" s="159">
        <v>0</v>
      </c>
      <c r="Q42" s="159">
        <v>0</v>
      </c>
      <c r="R42" s="159">
        <v>0</v>
      </c>
      <c r="S42" s="159">
        <v>0</v>
      </c>
      <c r="T42" s="159">
        <v>0</v>
      </c>
      <c r="U42" s="159">
        <v>0</v>
      </c>
      <c r="V42" s="159">
        <v>0</v>
      </c>
      <c r="W42" s="159">
        <v>0</v>
      </c>
      <c r="X42" s="158">
        <v>22</v>
      </c>
      <c r="Z42" s="210"/>
      <c r="AA42" s="209"/>
    </row>
    <row r="43" spans="1:27" ht="15" customHeight="1">
      <c r="A43" s="166"/>
      <c r="B43" s="146" t="s">
        <v>187</v>
      </c>
      <c r="C43" s="195"/>
      <c r="D43" s="193" t="s">
        <v>186</v>
      </c>
      <c r="E43" s="198"/>
      <c r="F43" s="146" t="s">
        <v>39</v>
      </c>
      <c r="G43" s="162"/>
      <c r="H43" s="161">
        <f t="shared" si="3"/>
        <v>130</v>
      </c>
      <c r="I43" s="191">
        <v>2</v>
      </c>
      <c r="J43" s="191">
        <v>0</v>
      </c>
      <c r="K43" s="191">
        <v>1</v>
      </c>
      <c r="L43" s="191">
        <v>4</v>
      </c>
      <c r="M43" s="191">
        <v>56</v>
      </c>
      <c r="N43" s="191">
        <v>17</v>
      </c>
      <c r="O43" s="191">
        <v>1</v>
      </c>
      <c r="P43" s="191">
        <v>16</v>
      </c>
      <c r="Q43" s="191">
        <v>19</v>
      </c>
      <c r="R43" s="191">
        <v>0</v>
      </c>
      <c r="S43" s="191">
        <v>3</v>
      </c>
      <c r="T43" s="191">
        <v>0</v>
      </c>
      <c r="U43" s="191">
        <v>2</v>
      </c>
      <c r="V43" s="191">
        <v>0</v>
      </c>
      <c r="W43" s="191">
        <v>0</v>
      </c>
      <c r="X43" s="190">
        <v>9</v>
      </c>
    </row>
    <row r="44" spans="1:27" ht="15" customHeight="1">
      <c r="A44" s="166"/>
      <c r="B44" s="363" t="s">
        <v>186</v>
      </c>
      <c r="C44" s="363"/>
      <c r="D44" s="363"/>
      <c r="E44" s="167"/>
      <c r="F44" s="146" t="s">
        <v>87</v>
      </c>
      <c r="G44" s="162"/>
      <c r="H44" s="161">
        <f t="shared" si="3"/>
        <v>0</v>
      </c>
      <c r="I44" s="189">
        <v>0</v>
      </c>
      <c r="J44" s="159">
        <v>0</v>
      </c>
      <c r="K44" s="159">
        <v>0</v>
      </c>
      <c r="L44" s="159">
        <v>0</v>
      </c>
      <c r="M44" s="159">
        <v>0</v>
      </c>
      <c r="N44" s="159">
        <v>0</v>
      </c>
      <c r="O44" s="159">
        <v>0</v>
      </c>
      <c r="P44" s="159">
        <v>0</v>
      </c>
      <c r="Q44" s="159">
        <v>0</v>
      </c>
      <c r="R44" s="159">
        <v>0</v>
      </c>
      <c r="S44" s="159">
        <v>0</v>
      </c>
      <c r="T44" s="159">
        <v>0</v>
      </c>
      <c r="U44" s="159">
        <v>0</v>
      </c>
      <c r="V44" s="159">
        <v>0</v>
      </c>
      <c r="W44" s="159">
        <v>0</v>
      </c>
      <c r="X44" s="158">
        <v>0</v>
      </c>
    </row>
    <row r="45" spans="1:27" ht="15" customHeight="1">
      <c r="A45" s="166"/>
      <c r="B45" s="146" t="s">
        <v>185</v>
      </c>
      <c r="C45" s="195"/>
      <c r="D45" s="193" t="s">
        <v>182</v>
      </c>
      <c r="E45" s="198"/>
      <c r="F45" s="146" t="s">
        <v>39</v>
      </c>
      <c r="G45" s="162"/>
      <c r="H45" s="161">
        <f t="shared" si="3"/>
        <v>27</v>
      </c>
      <c r="I45" s="191">
        <v>0</v>
      </c>
      <c r="J45" s="191">
        <v>0</v>
      </c>
      <c r="K45" s="191">
        <v>0</v>
      </c>
      <c r="L45" s="191">
        <v>2</v>
      </c>
      <c r="M45" s="191">
        <v>6</v>
      </c>
      <c r="N45" s="191">
        <v>6</v>
      </c>
      <c r="O45" s="191">
        <v>1</v>
      </c>
      <c r="P45" s="191">
        <v>4</v>
      </c>
      <c r="Q45" s="191">
        <v>1</v>
      </c>
      <c r="R45" s="191">
        <v>0</v>
      </c>
      <c r="S45" s="191">
        <v>1</v>
      </c>
      <c r="T45" s="191">
        <v>0</v>
      </c>
      <c r="U45" s="191">
        <v>1</v>
      </c>
      <c r="V45" s="191">
        <v>0</v>
      </c>
      <c r="W45" s="191">
        <v>0</v>
      </c>
      <c r="X45" s="190">
        <v>5</v>
      </c>
    </row>
    <row r="46" spans="1:27" ht="15" customHeight="1">
      <c r="A46" s="166"/>
      <c r="B46" s="363" t="s">
        <v>182</v>
      </c>
      <c r="C46" s="363"/>
      <c r="D46" s="363"/>
      <c r="E46" s="167"/>
      <c r="F46" s="146" t="s">
        <v>87</v>
      </c>
      <c r="G46" s="162"/>
      <c r="H46" s="161">
        <f t="shared" si="3"/>
        <v>0</v>
      </c>
      <c r="I46" s="189">
        <v>0</v>
      </c>
      <c r="J46" s="159">
        <v>0</v>
      </c>
      <c r="K46" s="159">
        <v>0</v>
      </c>
      <c r="L46" s="159">
        <v>0</v>
      </c>
      <c r="M46" s="159">
        <v>0</v>
      </c>
      <c r="N46" s="159">
        <v>0</v>
      </c>
      <c r="O46" s="159">
        <v>0</v>
      </c>
      <c r="P46" s="159">
        <v>0</v>
      </c>
      <c r="Q46" s="159">
        <v>0</v>
      </c>
      <c r="R46" s="159">
        <v>0</v>
      </c>
      <c r="S46" s="159">
        <v>0</v>
      </c>
      <c r="T46" s="159">
        <v>0</v>
      </c>
      <c r="U46" s="159">
        <v>0</v>
      </c>
      <c r="V46" s="159">
        <v>0</v>
      </c>
      <c r="W46" s="159">
        <v>0</v>
      </c>
      <c r="X46" s="158">
        <v>0</v>
      </c>
    </row>
    <row r="47" spans="1:27" ht="15" customHeight="1">
      <c r="A47" s="166"/>
      <c r="B47" s="146" t="s">
        <v>184</v>
      </c>
      <c r="C47" s="195"/>
      <c r="D47" s="193" t="s">
        <v>182</v>
      </c>
      <c r="E47" s="198"/>
      <c r="F47" s="146" t="s">
        <v>39</v>
      </c>
      <c r="G47" s="162"/>
      <c r="H47" s="161">
        <f t="shared" si="3"/>
        <v>82</v>
      </c>
      <c r="I47" s="191">
        <v>3</v>
      </c>
      <c r="J47" s="191">
        <v>0</v>
      </c>
      <c r="K47" s="191">
        <v>1</v>
      </c>
      <c r="L47" s="191">
        <v>2</v>
      </c>
      <c r="M47" s="191">
        <v>15</v>
      </c>
      <c r="N47" s="191">
        <v>33</v>
      </c>
      <c r="O47" s="191">
        <v>1</v>
      </c>
      <c r="P47" s="191">
        <v>6</v>
      </c>
      <c r="Q47" s="191">
        <v>12</v>
      </c>
      <c r="R47" s="191">
        <v>0</v>
      </c>
      <c r="S47" s="191">
        <v>1</v>
      </c>
      <c r="T47" s="191">
        <v>0</v>
      </c>
      <c r="U47" s="191">
        <v>2</v>
      </c>
      <c r="V47" s="191">
        <v>0</v>
      </c>
      <c r="W47" s="191">
        <v>0</v>
      </c>
      <c r="X47" s="190">
        <v>6</v>
      </c>
    </row>
    <row r="48" spans="1:27" ht="15" customHeight="1">
      <c r="A48" s="166"/>
      <c r="B48" s="363" t="s">
        <v>182</v>
      </c>
      <c r="C48" s="363"/>
      <c r="D48" s="363"/>
      <c r="E48" s="167"/>
      <c r="F48" s="146" t="s">
        <v>87</v>
      </c>
      <c r="G48" s="162"/>
      <c r="H48" s="161">
        <f t="shared" si="3"/>
        <v>0</v>
      </c>
      <c r="I48" s="189">
        <v>0</v>
      </c>
      <c r="J48" s="159">
        <v>0</v>
      </c>
      <c r="K48" s="159">
        <v>0</v>
      </c>
      <c r="L48" s="159">
        <v>0</v>
      </c>
      <c r="M48" s="159">
        <v>0</v>
      </c>
      <c r="N48" s="159">
        <v>0</v>
      </c>
      <c r="O48" s="159">
        <v>0</v>
      </c>
      <c r="P48" s="159">
        <v>0</v>
      </c>
      <c r="Q48" s="159">
        <v>0</v>
      </c>
      <c r="R48" s="159">
        <v>0</v>
      </c>
      <c r="S48" s="159">
        <v>0</v>
      </c>
      <c r="T48" s="159">
        <v>0</v>
      </c>
      <c r="U48" s="159">
        <v>0</v>
      </c>
      <c r="V48" s="159">
        <v>0</v>
      </c>
      <c r="W48" s="159">
        <v>0</v>
      </c>
      <c r="X48" s="158">
        <v>0</v>
      </c>
    </row>
    <row r="49" spans="1:24" ht="15" customHeight="1">
      <c r="A49" s="166"/>
      <c r="B49" s="146" t="s">
        <v>183</v>
      </c>
      <c r="C49" s="195"/>
      <c r="D49" s="193" t="s">
        <v>182</v>
      </c>
      <c r="E49" s="198"/>
      <c r="F49" s="146" t="s">
        <v>39</v>
      </c>
      <c r="G49" s="162"/>
      <c r="H49" s="161">
        <f t="shared" si="3"/>
        <v>36</v>
      </c>
      <c r="I49" s="191">
        <v>0</v>
      </c>
      <c r="J49" s="191">
        <v>0</v>
      </c>
      <c r="K49" s="191">
        <v>1</v>
      </c>
      <c r="L49" s="191">
        <v>4</v>
      </c>
      <c r="M49" s="191">
        <v>3</v>
      </c>
      <c r="N49" s="191">
        <v>11</v>
      </c>
      <c r="O49" s="191">
        <v>1</v>
      </c>
      <c r="P49" s="191">
        <v>2</v>
      </c>
      <c r="Q49" s="191">
        <v>11</v>
      </c>
      <c r="R49" s="191">
        <v>0</v>
      </c>
      <c r="S49" s="191">
        <v>2</v>
      </c>
      <c r="T49" s="191">
        <v>0</v>
      </c>
      <c r="U49" s="191">
        <v>1</v>
      </c>
      <c r="V49" s="191">
        <v>0</v>
      </c>
      <c r="W49" s="191">
        <v>0</v>
      </c>
      <c r="X49" s="190">
        <v>0</v>
      </c>
    </row>
    <row r="50" spans="1:24" ht="15" customHeight="1">
      <c r="A50" s="166"/>
      <c r="B50" s="363" t="s">
        <v>182</v>
      </c>
      <c r="C50" s="363"/>
      <c r="D50" s="363"/>
      <c r="E50" s="167"/>
      <c r="F50" s="146" t="s">
        <v>87</v>
      </c>
      <c r="G50" s="162"/>
      <c r="H50" s="161">
        <f t="shared" si="3"/>
        <v>0</v>
      </c>
      <c r="I50" s="189">
        <v>0</v>
      </c>
      <c r="J50" s="159">
        <v>0</v>
      </c>
      <c r="K50" s="159">
        <v>0</v>
      </c>
      <c r="L50" s="159">
        <v>0</v>
      </c>
      <c r="M50" s="159">
        <v>0</v>
      </c>
      <c r="N50" s="159">
        <v>0</v>
      </c>
      <c r="O50" s="159">
        <v>0</v>
      </c>
      <c r="P50" s="159">
        <v>0</v>
      </c>
      <c r="Q50" s="159">
        <v>0</v>
      </c>
      <c r="R50" s="159">
        <v>0</v>
      </c>
      <c r="S50" s="159">
        <v>0</v>
      </c>
      <c r="T50" s="159">
        <v>0</v>
      </c>
      <c r="U50" s="159">
        <v>0</v>
      </c>
      <c r="V50" s="159">
        <v>0</v>
      </c>
      <c r="W50" s="159">
        <v>0</v>
      </c>
      <c r="X50" s="158">
        <v>0</v>
      </c>
    </row>
    <row r="51" spans="1:24" ht="15" customHeight="1">
      <c r="A51" s="166"/>
      <c r="B51" s="146" t="s">
        <v>181</v>
      </c>
      <c r="C51" s="195"/>
      <c r="D51" s="193" t="s">
        <v>130</v>
      </c>
      <c r="E51" s="198"/>
      <c r="F51" s="146" t="s">
        <v>39</v>
      </c>
      <c r="G51" s="162"/>
      <c r="H51" s="161">
        <f t="shared" si="3"/>
        <v>38</v>
      </c>
      <c r="I51" s="191">
        <v>3</v>
      </c>
      <c r="J51" s="191">
        <v>0</v>
      </c>
      <c r="K51" s="191">
        <v>0</v>
      </c>
      <c r="L51" s="191">
        <v>1</v>
      </c>
      <c r="M51" s="191">
        <v>13</v>
      </c>
      <c r="N51" s="191">
        <v>10</v>
      </c>
      <c r="O51" s="191">
        <v>1</v>
      </c>
      <c r="P51" s="191">
        <v>4</v>
      </c>
      <c r="Q51" s="191">
        <v>1</v>
      </c>
      <c r="R51" s="191">
        <v>0</v>
      </c>
      <c r="S51" s="191">
        <v>1</v>
      </c>
      <c r="T51" s="191">
        <v>0</v>
      </c>
      <c r="U51" s="191">
        <v>3</v>
      </c>
      <c r="V51" s="191">
        <v>0</v>
      </c>
      <c r="W51" s="191">
        <v>0</v>
      </c>
      <c r="X51" s="190">
        <v>1</v>
      </c>
    </row>
    <row r="52" spans="1:24" ht="15" customHeight="1">
      <c r="A52" s="166"/>
      <c r="B52" s="363" t="s">
        <v>130</v>
      </c>
      <c r="C52" s="363"/>
      <c r="D52" s="363"/>
      <c r="E52" s="167"/>
      <c r="F52" s="146" t="s">
        <v>87</v>
      </c>
      <c r="G52" s="162"/>
      <c r="H52" s="161">
        <f t="shared" si="3"/>
        <v>0</v>
      </c>
      <c r="I52" s="189">
        <v>0</v>
      </c>
      <c r="J52" s="159">
        <v>0</v>
      </c>
      <c r="K52" s="159">
        <v>0</v>
      </c>
      <c r="L52" s="159">
        <v>0</v>
      </c>
      <c r="M52" s="159">
        <v>0</v>
      </c>
      <c r="N52" s="159">
        <v>0</v>
      </c>
      <c r="O52" s="159">
        <v>0</v>
      </c>
      <c r="P52" s="159">
        <v>0</v>
      </c>
      <c r="Q52" s="159">
        <v>0</v>
      </c>
      <c r="R52" s="159">
        <v>0</v>
      </c>
      <c r="S52" s="159">
        <v>0</v>
      </c>
      <c r="T52" s="159">
        <v>0</v>
      </c>
      <c r="U52" s="159">
        <v>0</v>
      </c>
      <c r="V52" s="159">
        <v>0</v>
      </c>
      <c r="W52" s="159">
        <v>0</v>
      </c>
      <c r="X52" s="158">
        <v>0</v>
      </c>
    </row>
    <row r="53" spans="1:24" ht="15" customHeight="1">
      <c r="A53" s="166"/>
      <c r="B53" s="146" t="s">
        <v>180</v>
      </c>
      <c r="C53" s="195"/>
      <c r="D53" s="193" t="s">
        <v>130</v>
      </c>
      <c r="E53" s="198"/>
      <c r="F53" s="146" t="s">
        <v>39</v>
      </c>
      <c r="G53" s="162"/>
      <c r="H53" s="161">
        <f t="shared" si="3"/>
        <v>94</v>
      </c>
      <c r="I53" s="191">
        <v>0</v>
      </c>
      <c r="J53" s="191">
        <v>0</v>
      </c>
      <c r="K53" s="191">
        <v>0</v>
      </c>
      <c r="L53" s="191">
        <v>7</v>
      </c>
      <c r="M53" s="191">
        <v>0</v>
      </c>
      <c r="N53" s="191">
        <v>16</v>
      </c>
      <c r="O53" s="191">
        <v>0</v>
      </c>
      <c r="P53" s="191">
        <v>1</v>
      </c>
      <c r="Q53" s="191">
        <v>1</v>
      </c>
      <c r="R53" s="191">
        <v>0</v>
      </c>
      <c r="S53" s="191">
        <v>1</v>
      </c>
      <c r="T53" s="191">
        <v>0</v>
      </c>
      <c r="U53" s="191">
        <v>1</v>
      </c>
      <c r="V53" s="191">
        <v>0</v>
      </c>
      <c r="W53" s="191">
        <v>0</v>
      </c>
      <c r="X53" s="190">
        <v>67</v>
      </c>
    </row>
    <row r="54" spans="1:24" ht="15" customHeight="1">
      <c r="A54" s="166"/>
      <c r="B54" s="363" t="s">
        <v>130</v>
      </c>
      <c r="C54" s="363"/>
      <c r="D54" s="363"/>
      <c r="E54" s="167"/>
      <c r="F54" s="146" t="s">
        <v>87</v>
      </c>
      <c r="G54" s="162"/>
      <c r="H54" s="161">
        <f t="shared" si="3"/>
        <v>0</v>
      </c>
      <c r="I54" s="189">
        <v>0</v>
      </c>
      <c r="J54" s="159">
        <v>0</v>
      </c>
      <c r="K54" s="159">
        <v>0</v>
      </c>
      <c r="L54" s="159">
        <v>0</v>
      </c>
      <c r="M54" s="159">
        <v>0</v>
      </c>
      <c r="N54" s="159">
        <v>0</v>
      </c>
      <c r="O54" s="159">
        <v>0</v>
      </c>
      <c r="P54" s="159">
        <v>0</v>
      </c>
      <c r="Q54" s="159">
        <v>0</v>
      </c>
      <c r="R54" s="159">
        <v>0</v>
      </c>
      <c r="S54" s="159">
        <v>0</v>
      </c>
      <c r="T54" s="159">
        <v>0</v>
      </c>
      <c r="U54" s="159">
        <v>0</v>
      </c>
      <c r="V54" s="159">
        <v>0</v>
      </c>
      <c r="W54" s="159">
        <v>0</v>
      </c>
      <c r="X54" s="158">
        <v>0</v>
      </c>
    </row>
    <row r="55" spans="1:24" ht="15" customHeight="1">
      <c r="A55" s="166"/>
      <c r="B55" s="146" t="s">
        <v>179</v>
      </c>
      <c r="C55" s="195"/>
      <c r="D55" s="193" t="s">
        <v>130</v>
      </c>
      <c r="E55" s="198"/>
      <c r="F55" s="146" t="s">
        <v>39</v>
      </c>
      <c r="G55" s="162"/>
      <c r="H55" s="161">
        <f t="shared" si="3"/>
        <v>33</v>
      </c>
      <c r="I55" s="191">
        <v>1</v>
      </c>
      <c r="J55" s="191">
        <v>0</v>
      </c>
      <c r="K55" s="191">
        <v>0</v>
      </c>
      <c r="L55" s="191">
        <v>1</v>
      </c>
      <c r="M55" s="191">
        <v>5</v>
      </c>
      <c r="N55" s="191">
        <v>10</v>
      </c>
      <c r="O55" s="191">
        <v>0</v>
      </c>
      <c r="P55" s="191">
        <v>0</v>
      </c>
      <c r="Q55" s="191">
        <v>10</v>
      </c>
      <c r="R55" s="191">
        <v>0</v>
      </c>
      <c r="S55" s="191">
        <v>0</v>
      </c>
      <c r="T55" s="191">
        <v>0</v>
      </c>
      <c r="U55" s="191">
        <v>4</v>
      </c>
      <c r="V55" s="191">
        <v>0</v>
      </c>
      <c r="W55" s="191">
        <v>0</v>
      </c>
      <c r="X55" s="190">
        <v>2</v>
      </c>
    </row>
    <row r="56" spans="1:24" ht="15" customHeight="1">
      <c r="A56" s="166"/>
      <c r="B56" s="363" t="s">
        <v>130</v>
      </c>
      <c r="C56" s="363"/>
      <c r="D56" s="363"/>
      <c r="E56" s="167"/>
      <c r="F56" s="146" t="s">
        <v>87</v>
      </c>
      <c r="G56" s="162"/>
      <c r="H56" s="161">
        <f t="shared" si="3"/>
        <v>0</v>
      </c>
      <c r="I56" s="189">
        <v>0</v>
      </c>
      <c r="J56" s="159">
        <v>0</v>
      </c>
      <c r="K56" s="159">
        <v>0</v>
      </c>
      <c r="L56" s="159">
        <v>0</v>
      </c>
      <c r="M56" s="159">
        <v>0</v>
      </c>
      <c r="N56" s="159">
        <v>0</v>
      </c>
      <c r="O56" s="159">
        <v>0</v>
      </c>
      <c r="P56" s="159">
        <v>0</v>
      </c>
      <c r="Q56" s="159">
        <v>0</v>
      </c>
      <c r="R56" s="159">
        <v>0</v>
      </c>
      <c r="S56" s="159">
        <v>0</v>
      </c>
      <c r="T56" s="159">
        <v>0</v>
      </c>
      <c r="U56" s="159">
        <v>0</v>
      </c>
      <c r="V56" s="159">
        <v>0</v>
      </c>
      <c r="W56" s="159">
        <v>0</v>
      </c>
      <c r="X56" s="158">
        <v>0</v>
      </c>
    </row>
    <row r="57" spans="1:24" ht="15" customHeight="1">
      <c r="A57" s="166"/>
      <c r="B57" s="146" t="s">
        <v>178</v>
      </c>
      <c r="C57" s="195"/>
      <c r="D57" s="193" t="s">
        <v>130</v>
      </c>
      <c r="E57" s="198"/>
      <c r="F57" s="146" t="s">
        <v>39</v>
      </c>
      <c r="G57" s="162"/>
      <c r="H57" s="161">
        <f t="shared" si="3"/>
        <v>82</v>
      </c>
      <c r="I57" s="191">
        <v>7</v>
      </c>
      <c r="J57" s="191">
        <v>0</v>
      </c>
      <c r="K57" s="191">
        <v>0</v>
      </c>
      <c r="L57" s="191">
        <v>6</v>
      </c>
      <c r="M57" s="191">
        <v>4</v>
      </c>
      <c r="N57" s="191">
        <v>23</v>
      </c>
      <c r="O57" s="191">
        <v>6</v>
      </c>
      <c r="P57" s="191">
        <v>1</v>
      </c>
      <c r="Q57" s="191">
        <v>22</v>
      </c>
      <c r="R57" s="191">
        <v>1</v>
      </c>
      <c r="S57" s="191">
        <v>2</v>
      </c>
      <c r="T57" s="191">
        <v>0</v>
      </c>
      <c r="U57" s="191">
        <v>1</v>
      </c>
      <c r="V57" s="191">
        <v>0</v>
      </c>
      <c r="W57" s="191">
        <v>0</v>
      </c>
      <c r="X57" s="190">
        <v>9</v>
      </c>
    </row>
    <row r="58" spans="1:24" ht="15" customHeight="1">
      <c r="A58" s="166"/>
      <c r="B58" s="363" t="s">
        <v>130</v>
      </c>
      <c r="C58" s="363"/>
      <c r="D58" s="363"/>
      <c r="E58" s="167"/>
      <c r="F58" s="146" t="s">
        <v>87</v>
      </c>
      <c r="G58" s="162"/>
      <c r="H58" s="161">
        <f t="shared" si="3"/>
        <v>0</v>
      </c>
      <c r="I58" s="189">
        <v>0</v>
      </c>
      <c r="J58" s="159">
        <v>0</v>
      </c>
      <c r="K58" s="159">
        <v>0</v>
      </c>
      <c r="L58" s="159">
        <v>0</v>
      </c>
      <c r="M58" s="159">
        <v>0</v>
      </c>
      <c r="N58" s="159">
        <v>0</v>
      </c>
      <c r="O58" s="159">
        <v>0</v>
      </c>
      <c r="P58" s="159">
        <v>0</v>
      </c>
      <c r="Q58" s="159">
        <v>0</v>
      </c>
      <c r="R58" s="159">
        <v>0</v>
      </c>
      <c r="S58" s="159">
        <v>0</v>
      </c>
      <c r="T58" s="159">
        <v>0</v>
      </c>
      <c r="U58" s="159">
        <v>0</v>
      </c>
      <c r="V58" s="159">
        <v>0</v>
      </c>
      <c r="W58" s="159">
        <v>0</v>
      </c>
      <c r="X58" s="158">
        <v>0</v>
      </c>
    </row>
    <row r="59" spans="1:24" ht="15" customHeight="1">
      <c r="A59" s="166"/>
      <c r="B59" s="146" t="s">
        <v>177</v>
      </c>
      <c r="C59" s="195"/>
      <c r="D59" s="193" t="s">
        <v>105</v>
      </c>
      <c r="E59" s="198"/>
      <c r="F59" s="146" t="s">
        <v>39</v>
      </c>
      <c r="G59" s="162"/>
      <c r="H59" s="161">
        <f t="shared" si="3"/>
        <v>28</v>
      </c>
      <c r="I59" s="191">
        <v>0</v>
      </c>
      <c r="J59" s="191">
        <v>0</v>
      </c>
      <c r="K59" s="191">
        <v>0</v>
      </c>
      <c r="L59" s="191">
        <v>0</v>
      </c>
      <c r="M59" s="191">
        <v>0</v>
      </c>
      <c r="N59" s="191">
        <v>22</v>
      </c>
      <c r="O59" s="191">
        <v>0</v>
      </c>
      <c r="P59" s="191">
        <v>0</v>
      </c>
      <c r="Q59" s="191">
        <v>0</v>
      </c>
      <c r="R59" s="191">
        <v>0</v>
      </c>
      <c r="S59" s="191">
        <v>3</v>
      </c>
      <c r="T59" s="191">
        <v>0</v>
      </c>
      <c r="U59" s="191">
        <v>0</v>
      </c>
      <c r="V59" s="191">
        <v>0</v>
      </c>
      <c r="W59" s="191">
        <v>0</v>
      </c>
      <c r="X59" s="190">
        <v>3</v>
      </c>
    </row>
    <row r="60" spans="1:24" ht="15" customHeight="1">
      <c r="A60" s="166"/>
      <c r="B60" s="363" t="s">
        <v>105</v>
      </c>
      <c r="C60" s="363"/>
      <c r="D60" s="363"/>
      <c r="E60" s="167"/>
      <c r="F60" s="146" t="s">
        <v>87</v>
      </c>
      <c r="G60" s="162"/>
      <c r="H60" s="161">
        <f t="shared" si="3"/>
        <v>0</v>
      </c>
      <c r="I60" s="189">
        <v>0</v>
      </c>
      <c r="J60" s="159">
        <v>0</v>
      </c>
      <c r="K60" s="159">
        <v>0</v>
      </c>
      <c r="L60" s="159">
        <v>0</v>
      </c>
      <c r="M60" s="159">
        <v>0</v>
      </c>
      <c r="N60" s="159">
        <v>0</v>
      </c>
      <c r="O60" s="159">
        <v>0</v>
      </c>
      <c r="P60" s="159">
        <v>0</v>
      </c>
      <c r="Q60" s="159">
        <v>0</v>
      </c>
      <c r="R60" s="159">
        <v>0</v>
      </c>
      <c r="S60" s="159">
        <v>0</v>
      </c>
      <c r="T60" s="159">
        <v>0</v>
      </c>
      <c r="U60" s="159">
        <v>0</v>
      </c>
      <c r="V60" s="159">
        <v>0</v>
      </c>
      <c r="W60" s="159">
        <v>0</v>
      </c>
      <c r="X60" s="158">
        <v>0</v>
      </c>
    </row>
    <row r="61" spans="1:24" ht="15" customHeight="1">
      <c r="A61" s="166"/>
      <c r="B61" s="146" t="s">
        <v>176</v>
      </c>
      <c r="C61" s="165"/>
      <c r="D61" s="193" t="s">
        <v>119</v>
      </c>
      <c r="E61" s="198"/>
      <c r="F61" s="146" t="s">
        <v>39</v>
      </c>
      <c r="G61" s="162"/>
      <c r="H61" s="161">
        <f t="shared" si="3"/>
        <v>191</v>
      </c>
      <c r="I61" s="191">
        <v>1</v>
      </c>
      <c r="J61" s="191">
        <v>0</v>
      </c>
      <c r="K61" s="191">
        <v>0</v>
      </c>
      <c r="L61" s="191">
        <v>7</v>
      </c>
      <c r="M61" s="191">
        <v>49</v>
      </c>
      <c r="N61" s="191">
        <v>53</v>
      </c>
      <c r="O61" s="191">
        <v>4</v>
      </c>
      <c r="P61" s="191">
        <v>3</v>
      </c>
      <c r="Q61" s="191">
        <v>54</v>
      </c>
      <c r="R61" s="191">
        <v>0</v>
      </c>
      <c r="S61" s="191">
        <v>3</v>
      </c>
      <c r="T61" s="191">
        <v>0</v>
      </c>
      <c r="U61" s="191">
        <v>10</v>
      </c>
      <c r="V61" s="191">
        <v>0</v>
      </c>
      <c r="W61" s="191">
        <v>0</v>
      </c>
      <c r="X61" s="190">
        <v>7</v>
      </c>
    </row>
    <row r="62" spans="1:24" ht="15" customHeight="1">
      <c r="A62" s="166"/>
      <c r="B62" s="363" t="s">
        <v>119</v>
      </c>
      <c r="C62" s="363"/>
      <c r="D62" s="363"/>
      <c r="E62" s="167"/>
      <c r="F62" s="146" t="s">
        <v>87</v>
      </c>
      <c r="G62" s="162"/>
      <c r="H62" s="161">
        <f t="shared" si="3"/>
        <v>0</v>
      </c>
      <c r="I62" s="189">
        <v>0</v>
      </c>
      <c r="J62" s="159">
        <v>0</v>
      </c>
      <c r="K62" s="159">
        <v>0</v>
      </c>
      <c r="L62" s="159">
        <v>0</v>
      </c>
      <c r="M62" s="159">
        <v>0</v>
      </c>
      <c r="N62" s="159">
        <v>0</v>
      </c>
      <c r="O62" s="159">
        <v>0</v>
      </c>
      <c r="P62" s="159">
        <v>0</v>
      </c>
      <c r="Q62" s="159">
        <v>0</v>
      </c>
      <c r="R62" s="159">
        <v>0</v>
      </c>
      <c r="S62" s="159">
        <v>0</v>
      </c>
      <c r="T62" s="159">
        <v>0</v>
      </c>
      <c r="U62" s="159">
        <v>0</v>
      </c>
      <c r="V62" s="159">
        <v>0</v>
      </c>
      <c r="W62" s="159">
        <v>0</v>
      </c>
      <c r="X62" s="158">
        <v>0</v>
      </c>
    </row>
    <row r="63" spans="1:24" ht="15" customHeight="1">
      <c r="A63" s="166"/>
      <c r="B63" s="146" t="s">
        <v>175</v>
      </c>
      <c r="C63" s="195"/>
      <c r="D63" s="193" t="s">
        <v>92</v>
      </c>
      <c r="E63" s="198"/>
      <c r="F63" s="146" t="s">
        <v>39</v>
      </c>
      <c r="G63" s="162"/>
      <c r="H63" s="161">
        <f t="shared" si="3"/>
        <v>38</v>
      </c>
      <c r="I63" s="191">
        <v>3</v>
      </c>
      <c r="J63" s="191">
        <v>0</v>
      </c>
      <c r="K63" s="191">
        <v>0</v>
      </c>
      <c r="L63" s="191">
        <v>5</v>
      </c>
      <c r="M63" s="191">
        <v>4</v>
      </c>
      <c r="N63" s="191">
        <v>14</v>
      </c>
      <c r="O63" s="191">
        <v>0</v>
      </c>
      <c r="P63" s="191">
        <v>3</v>
      </c>
      <c r="Q63" s="191">
        <v>8</v>
      </c>
      <c r="R63" s="191">
        <v>0</v>
      </c>
      <c r="S63" s="191">
        <v>0</v>
      </c>
      <c r="T63" s="191">
        <v>0</v>
      </c>
      <c r="U63" s="191">
        <v>0</v>
      </c>
      <c r="V63" s="191">
        <v>0</v>
      </c>
      <c r="W63" s="191">
        <v>0</v>
      </c>
      <c r="X63" s="190">
        <v>1</v>
      </c>
    </row>
    <row r="64" spans="1:24" ht="15" customHeight="1">
      <c r="A64" s="166"/>
      <c r="B64" s="363" t="s">
        <v>92</v>
      </c>
      <c r="C64" s="363"/>
      <c r="D64" s="363"/>
      <c r="E64" s="167"/>
      <c r="F64" s="146" t="s">
        <v>87</v>
      </c>
      <c r="G64" s="162"/>
      <c r="H64" s="161">
        <f t="shared" si="3"/>
        <v>0</v>
      </c>
      <c r="I64" s="189">
        <v>0</v>
      </c>
      <c r="J64" s="159">
        <v>0</v>
      </c>
      <c r="K64" s="159">
        <v>0</v>
      </c>
      <c r="L64" s="159">
        <v>0</v>
      </c>
      <c r="M64" s="159">
        <v>0</v>
      </c>
      <c r="N64" s="159">
        <v>0</v>
      </c>
      <c r="O64" s="159">
        <v>0</v>
      </c>
      <c r="P64" s="159">
        <v>0</v>
      </c>
      <c r="Q64" s="159">
        <v>0</v>
      </c>
      <c r="R64" s="159">
        <v>0</v>
      </c>
      <c r="S64" s="159">
        <v>0</v>
      </c>
      <c r="T64" s="159">
        <v>0</v>
      </c>
      <c r="U64" s="159">
        <v>0</v>
      </c>
      <c r="V64" s="159">
        <v>0</v>
      </c>
      <c r="W64" s="159">
        <v>0</v>
      </c>
      <c r="X64" s="158">
        <v>0</v>
      </c>
    </row>
    <row r="65" spans="1:26" ht="15" customHeight="1">
      <c r="A65" s="166"/>
      <c r="B65" s="146" t="s">
        <v>174</v>
      </c>
      <c r="C65" s="195"/>
      <c r="D65" s="193" t="s">
        <v>92</v>
      </c>
      <c r="E65" s="194"/>
      <c r="F65" s="146" t="s">
        <v>39</v>
      </c>
      <c r="G65" s="162"/>
      <c r="H65" s="161">
        <f t="shared" si="3"/>
        <v>93</v>
      </c>
      <c r="I65" s="191">
        <v>7</v>
      </c>
      <c r="J65" s="191">
        <v>0</v>
      </c>
      <c r="K65" s="191">
        <v>0</v>
      </c>
      <c r="L65" s="191">
        <v>5</v>
      </c>
      <c r="M65" s="191">
        <v>28</v>
      </c>
      <c r="N65" s="191">
        <v>31</v>
      </c>
      <c r="O65" s="191">
        <v>3</v>
      </c>
      <c r="P65" s="191">
        <v>3</v>
      </c>
      <c r="Q65" s="191">
        <v>13</v>
      </c>
      <c r="R65" s="191">
        <v>0</v>
      </c>
      <c r="S65" s="191">
        <v>2</v>
      </c>
      <c r="T65" s="191">
        <v>0</v>
      </c>
      <c r="U65" s="191">
        <v>0</v>
      </c>
      <c r="V65" s="191">
        <v>0</v>
      </c>
      <c r="W65" s="191">
        <v>0</v>
      </c>
      <c r="X65" s="190">
        <v>1</v>
      </c>
    </row>
    <row r="66" spans="1:26" ht="15" customHeight="1" thickBot="1">
      <c r="A66" s="157"/>
      <c r="B66" s="364" t="s">
        <v>92</v>
      </c>
      <c r="C66" s="364"/>
      <c r="D66" s="364"/>
      <c r="E66" s="156"/>
      <c r="F66" s="155" t="s">
        <v>87</v>
      </c>
      <c r="G66" s="154"/>
      <c r="H66" s="153">
        <f t="shared" si="3"/>
        <v>0</v>
      </c>
      <c r="I66" s="208">
        <v>0</v>
      </c>
      <c r="J66" s="151">
        <v>0</v>
      </c>
      <c r="K66" s="151">
        <v>0</v>
      </c>
      <c r="L66" s="151">
        <v>0</v>
      </c>
      <c r="M66" s="151">
        <v>0</v>
      </c>
      <c r="N66" s="151">
        <v>0</v>
      </c>
      <c r="O66" s="151">
        <v>0</v>
      </c>
      <c r="P66" s="151">
        <v>0</v>
      </c>
      <c r="Q66" s="151">
        <v>0</v>
      </c>
      <c r="R66" s="151">
        <v>0</v>
      </c>
      <c r="S66" s="151">
        <v>0</v>
      </c>
      <c r="T66" s="151">
        <v>0</v>
      </c>
      <c r="U66" s="151">
        <v>0</v>
      </c>
      <c r="V66" s="151">
        <v>0</v>
      </c>
      <c r="W66" s="151">
        <v>0</v>
      </c>
      <c r="X66" s="150">
        <v>0</v>
      </c>
      <c r="Y66" s="143"/>
    </row>
    <row r="67" spans="1:26" s="143" customFormat="1" ht="9.1999999999999993" customHeight="1" thickBot="1">
      <c r="A67" s="188"/>
      <c r="B67" s="187"/>
      <c r="C67" s="187"/>
      <c r="D67" s="187"/>
      <c r="E67" s="187"/>
      <c r="F67" s="187"/>
      <c r="G67" s="187"/>
      <c r="H67" s="186"/>
      <c r="I67" s="185"/>
      <c r="J67" s="185"/>
      <c r="K67" s="185"/>
      <c r="L67" s="185"/>
      <c r="M67" s="185"/>
      <c r="N67" s="185"/>
      <c r="O67" s="185"/>
      <c r="P67" s="185"/>
      <c r="Q67" s="185"/>
      <c r="R67" s="185"/>
      <c r="S67" s="185"/>
      <c r="T67" s="185"/>
      <c r="U67" s="185"/>
      <c r="V67" s="185"/>
      <c r="W67" s="185"/>
      <c r="X67" s="185"/>
    </row>
    <row r="68" spans="1:26" s="143" customFormat="1" ht="54" customHeight="1">
      <c r="A68" s="366" t="s">
        <v>91</v>
      </c>
      <c r="B68" s="367"/>
      <c r="C68" s="367"/>
      <c r="D68" s="367"/>
      <c r="E68" s="367"/>
      <c r="F68" s="367"/>
      <c r="G68" s="368"/>
      <c r="H68" s="184" t="s">
        <v>16</v>
      </c>
      <c r="I68" s="183" t="s">
        <v>15</v>
      </c>
      <c r="J68" s="181" t="s">
        <v>14</v>
      </c>
      <c r="K68" s="181" t="s">
        <v>13</v>
      </c>
      <c r="L68" s="181" t="s">
        <v>12</v>
      </c>
      <c r="M68" s="181" t="s">
        <v>11</v>
      </c>
      <c r="N68" s="181" t="s">
        <v>10</v>
      </c>
      <c r="O68" s="181" t="s">
        <v>9</v>
      </c>
      <c r="P68" s="181" t="s">
        <v>8</v>
      </c>
      <c r="Q68" s="181" t="s">
        <v>7</v>
      </c>
      <c r="R68" s="181" t="s">
        <v>6</v>
      </c>
      <c r="S68" s="182" t="s">
        <v>5</v>
      </c>
      <c r="T68" s="181" t="s">
        <v>4</v>
      </c>
      <c r="U68" s="181" t="s">
        <v>3</v>
      </c>
      <c r="V68" s="181" t="s">
        <v>2</v>
      </c>
      <c r="W68" s="181" t="s">
        <v>1</v>
      </c>
      <c r="X68" s="180" t="s">
        <v>0</v>
      </c>
    </row>
    <row r="69" spans="1:26" s="143" customFormat="1" ht="9.1999999999999993" customHeight="1" thickBot="1">
      <c r="A69" s="369"/>
      <c r="B69" s="370"/>
      <c r="C69" s="370"/>
      <c r="D69" s="370"/>
      <c r="E69" s="370"/>
      <c r="F69" s="370"/>
      <c r="G69" s="371"/>
      <c r="H69" s="179"/>
      <c r="I69" s="178"/>
      <c r="J69" s="176"/>
      <c r="K69" s="176"/>
      <c r="L69" s="176"/>
      <c r="M69" s="176"/>
      <c r="N69" s="176"/>
      <c r="O69" s="176"/>
      <c r="P69" s="176"/>
      <c r="Q69" s="176"/>
      <c r="R69" s="176"/>
      <c r="S69" s="177"/>
      <c r="T69" s="176"/>
      <c r="U69" s="176"/>
      <c r="V69" s="176"/>
      <c r="W69" s="176"/>
      <c r="X69" s="175"/>
    </row>
    <row r="70" spans="1:26" s="143" customFormat="1" ht="14.1" customHeight="1">
      <c r="A70" s="174"/>
      <c r="B70" s="365"/>
      <c r="C70" s="365"/>
      <c r="D70" s="365"/>
      <c r="E70" s="365"/>
      <c r="F70" s="365"/>
      <c r="G70" s="173"/>
      <c r="H70" s="172" t="s">
        <v>34</v>
      </c>
      <c r="I70" s="171" t="s">
        <v>34</v>
      </c>
      <c r="J70" s="170" t="s">
        <v>34</v>
      </c>
      <c r="K70" s="170" t="s">
        <v>34</v>
      </c>
      <c r="L70" s="170" t="s">
        <v>34</v>
      </c>
      <c r="M70" s="170" t="s">
        <v>34</v>
      </c>
      <c r="N70" s="170" t="s">
        <v>34</v>
      </c>
      <c r="O70" s="170" t="s">
        <v>34</v>
      </c>
      <c r="P70" s="170" t="s">
        <v>34</v>
      </c>
      <c r="Q70" s="170" t="s">
        <v>34</v>
      </c>
      <c r="R70" s="170" t="s">
        <v>34</v>
      </c>
      <c r="S70" s="170" t="s">
        <v>34</v>
      </c>
      <c r="T70" s="170" t="s">
        <v>34</v>
      </c>
      <c r="U70" s="170" t="s">
        <v>34</v>
      </c>
      <c r="V70" s="170" t="s">
        <v>34</v>
      </c>
      <c r="W70" s="170" t="s">
        <v>34</v>
      </c>
      <c r="X70" s="169" t="s">
        <v>34</v>
      </c>
      <c r="Y70" s="140"/>
    </row>
    <row r="71" spans="1:26" ht="15" customHeight="1">
      <c r="A71" s="166"/>
      <c r="B71" s="146" t="s">
        <v>173</v>
      </c>
      <c r="C71" s="195"/>
      <c r="D71" s="194" t="s">
        <v>111</v>
      </c>
      <c r="E71" s="194"/>
      <c r="F71" s="146" t="s">
        <v>39</v>
      </c>
      <c r="G71" s="162"/>
      <c r="H71" s="161">
        <f t="shared" ref="H71:H100" si="4">SUM(I71:X71)</f>
        <v>29</v>
      </c>
      <c r="I71" s="192">
        <v>0</v>
      </c>
      <c r="J71" s="191">
        <v>0</v>
      </c>
      <c r="K71" s="191">
        <v>0</v>
      </c>
      <c r="L71" s="191">
        <v>8</v>
      </c>
      <c r="M71" s="191">
        <v>5</v>
      </c>
      <c r="N71" s="191">
        <v>10</v>
      </c>
      <c r="O71" s="191">
        <v>0</v>
      </c>
      <c r="P71" s="191">
        <v>2</v>
      </c>
      <c r="Q71" s="191">
        <v>4</v>
      </c>
      <c r="R71" s="191">
        <v>0</v>
      </c>
      <c r="S71" s="191">
        <v>0</v>
      </c>
      <c r="T71" s="191">
        <v>0</v>
      </c>
      <c r="U71" s="191">
        <v>0</v>
      </c>
      <c r="V71" s="191">
        <v>0</v>
      </c>
      <c r="W71" s="191">
        <v>0</v>
      </c>
      <c r="X71" s="190">
        <v>0</v>
      </c>
      <c r="Y71" s="206"/>
    </row>
    <row r="72" spans="1:26" ht="15" customHeight="1">
      <c r="A72" s="166"/>
      <c r="B72" s="363" t="s">
        <v>172</v>
      </c>
      <c r="C72" s="363"/>
      <c r="D72" s="363"/>
      <c r="E72" s="167"/>
      <c r="F72" s="146" t="s">
        <v>87</v>
      </c>
      <c r="G72" s="162"/>
      <c r="H72" s="161">
        <f t="shared" si="4"/>
        <v>45</v>
      </c>
      <c r="I72" s="160">
        <v>1</v>
      </c>
      <c r="J72" s="159">
        <v>20</v>
      </c>
      <c r="K72" s="159">
        <v>0</v>
      </c>
      <c r="L72" s="159">
        <v>4</v>
      </c>
      <c r="M72" s="159">
        <v>0</v>
      </c>
      <c r="N72" s="159">
        <v>0</v>
      </c>
      <c r="O72" s="159">
        <v>0</v>
      </c>
      <c r="P72" s="159">
        <v>0</v>
      </c>
      <c r="Q72" s="159">
        <v>0</v>
      </c>
      <c r="R72" s="159">
        <v>0</v>
      </c>
      <c r="S72" s="207">
        <v>18</v>
      </c>
      <c r="T72" s="159">
        <v>0</v>
      </c>
      <c r="U72" s="159">
        <v>0</v>
      </c>
      <c r="V72" s="159">
        <v>0</v>
      </c>
      <c r="W72" s="159">
        <v>0</v>
      </c>
      <c r="X72" s="158">
        <v>2</v>
      </c>
    </row>
    <row r="73" spans="1:26" ht="15" customHeight="1">
      <c r="A73" s="166"/>
      <c r="B73" s="146" t="s">
        <v>171</v>
      </c>
      <c r="C73" s="200"/>
      <c r="D73" s="193" t="s">
        <v>164</v>
      </c>
      <c r="E73" s="198"/>
      <c r="F73" s="146" t="s">
        <v>39</v>
      </c>
      <c r="G73" s="162"/>
      <c r="H73" s="161">
        <f t="shared" si="4"/>
        <v>3337</v>
      </c>
      <c r="I73" s="192">
        <v>8</v>
      </c>
      <c r="J73" s="191">
        <v>0</v>
      </c>
      <c r="K73" s="191">
        <v>0</v>
      </c>
      <c r="L73" s="191">
        <v>9</v>
      </c>
      <c r="M73" s="191">
        <v>3</v>
      </c>
      <c r="N73" s="191">
        <v>25</v>
      </c>
      <c r="O73" s="191">
        <v>0</v>
      </c>
      <c r="P73" s="191">
        <v>1</v>
      </c>
      <c r="Q73" s="191">
        <v>17</v>
      </c>
      <c r="R73" s="191">
        <v>1</v>
      </c>
      <c r="S73" s="191">
        <f>5+3264</f>
        <v>3269</v>
      </c>
      <c r="T73" s="191">
        <v>0</v>
      </c>
      <c r="U73" s="191">
        <v>1</v>
      </c>
      <c r="V73" s="191">
        <v>0</v>
      </c>
      <c r="W73" s="191">
        <v>0</v>
      </c>
      <c r="X73" s="190">
        <v>3</v>
      </c>
      <c r="Y73" s="206"/>
    </row>
    <row r="74" spans="1:26" ht="15" customHeight="1">
      <c r="A74" s="166"/>
      <c r="B74" s="363" t="s">
        <v>164</v>
      </c>
      <c r="C74" s="363"/>
      <c r="D74" s="363"/>
      <c r="E74" s="167"/>
      <c r="F74" s="146" t="s">
        <v>87</v>
      </c>
      <c r="G74" s="162"/>
      <c r="H74" s="161">
        <f t="shared" si="4"/>
        <v>573</v>
      </c>
      <c r="I74" s="189">
        <v>159</v>
      </c>
      <c r="J74" s="159">
        <v>0</v>
      </c>
      <c r="K74" s="159">
        <v>0</v>
      </c>
      <c r="L74" s="159">
        <v>8</v>
      </c>
      <c r="M74" s="159">
        <v>0</v>
      </c>
      <c r="N74" s="159">
        <v>247</v>
      </c>
      <c r="O74" s="159">
        <v>0</v>
      </c>
      <c r="P74" s="159">
        <v>0</v>
      </c>
      <c r="Q74" s="159">
        <v>21</v>
      </c>
      <c r="R74" s="159">
        <v>0</v>
      </c>
      <c r="S74" s="159">
        <v>0</v>
      </c>
      <c r="T74" s="159">
        <v>0</v>
      </c>
      <c r="U74" s="159">
        <v>0</v>
      </c>
      <c r="V74" s="159">
        <v>0</v>
      </c>
      <c r="W74" s="159">
        <v>0</v>
      </c>
      <c r="X74" s="158">
        <v>138</v>
      </c>
      <c r="Z74" s="206"/>
    </row>
    <row r="75" spans="1:26" ht="15" customHeight="1">
      <c r="A75" s="166"/>
      <c r="B75" s="146" t="s">
        <v>170</v>
      </c>
      <c r="C75" s="195"/>
      <c r="D75" s="193" t="s">
        <v>164</v>
      </c>
      <c r="E75" s="198"/>
      <c r="F75" s="146" t="s">
        <v>39</v>
      </c>
      <c r="G75" s="162"/>
      <c r="H75" s="161">
        <f t="shared" si="4"/>
        <v>21</v>
      </c>
      <c r="I75" s="192">
        <v>2</v>
      </c>
      <c r="J75" s="191">
        <v>0</v>
      </c>
      <c r="K75" s="191">
        <v>0</v>
      </c>
      <c r="L75" s="191">
        <v>5</v>
      </c>
      <c r="M75" s="191">
        <v>1</v>
      </c>
      <c r="N75" s="191">
        <v>8</v>
      </c>
      <c r="O75" s="191">
        <v>0</v>
      </c>
      <c r="P75" s="191">
        <v>0</v>
      </c>
      <c r="Q75" s="191">
        <v>2</v>
      </c>
      <c r="R75" s="191">
        <v>0</v>
      </c>
      <c r="S75" s="191">
        <v>1</v>
      </c>
      <c r="T75" s="191">
        <v>0</v>
      </c>
      <c r="U75" s="191">
        <v>2</v>
      </c>
      <c r="V75" s="191">
        <v>0</v>
      </c>
      <c r="W75" s="191">
        <v>0</v>
      </c>
      <c r="X75" s="190">
        <v>0</v>
      </c>
    </row>
    <row r="76" spans="1:26" ht="15" customHeight="1">
      <c r="A76" s="166"/>
      <c r="B76" s="363" t="s">
        <v>164</v>
      </c>
      <c r="C76" s="363"/>
      <c r="D76" s="363"/>
      <c r="E76" s="167"/>
      <c r="F76" s="146" t="s">
        <v>87</v>
      </c>
      <c r="G76" s="162"/>
      <c r="H76" s="161">
        <f t="shared" si="4"/>
        <v>0</v>
      </c>
      <c r="I76" s="189">
        <v>0</v>
      </c>
      <c r="J76" s="159">
        <v>0</v>
      </c>
      <c r="K76" s="159">
        <v>0</v>
      </c>
      <c r="L76" s="159">
        <v>0</v>
      </c>
      <c r="M76" s="159">
        <v>0</v>
      </c>
      <c r="N76" s="159">
        <v>0</v>
      </c>
      <c r="O76" s="159">
        <v>0</v>
      </c>
      <c r="P76" s="159">
        <v>0</v>
      </c>
      <c r="Q76" s="159">
        <v>0</v>
      </c>
      <c r="R76" s="159">
        <v>0</v>
      </c>
      <c r="S76" s="159">
        <v>0</v>
      </c>
      <c r="T76" s="159">
        <v>0</v>
      </c>
      <c r="U76" s="159">
        <v>0</v>
      </c>
      <c r="V76" s="159">
        <v>0</v>
      </c>
      <c r="W76" s="159">
        <v>0</v>
      </c>
      <c r="X76" s="158">
        <v>0</v>
      </c>
    </row>
    <row r="77" spans="1:26" ht="15" customHeight="1">
      <c r="A77" s="166"/>
      <c r="B77" s="146" t="s">
        <v>169</v>
      </c>
      <c r="C77" s="195"/>
      <c r="D77" s="193" t="s">
        <v>164</v>
      </c>
      <c r="E77" s="198"/>
      <c r="F77" s="146" t="s">
        <v>39</v>
      </c>
      <c r="G77" s="162"/>
      <c r="H77" s="161">
        <f t="shared" si="4"/>
        <v>153</v>
      </c>
      <c r="I77" s="192">
        <v>6</v>
      </c>
      <c r="J77" s="191">
        <v>0</v>
      </c>
      <c r="K77" s="191">
        <v>0</v>
      </c>
      <c r="L77" s="191">
        <f>15+10</f>
        <v>25</v>
      </c>
      <c r="M77" s="191">
        <v>1</v>
      </c>
      <c r="N77" s="191">
        <v>93</v>
      </c>
      <c r="O77" s="191">
        <v>0</v>
      </c>
      <c r="P77" s="191">
        <v>0</v>
      </c>
      <c r="Q77" s="191">
        <v>8</v>
      </c>
      <c r="R77" s="191">
        <v>2</v>
      </c>
      <c r="S77" s="191">
        <f>9+5</f>
        <v>14</v>
      </c>
      <c r="T77" s="191">
        <v>0</v>
      </c>
      <c r="U77" s="191">
        <v>0</v>
      </c>
      <c r="V77" s="191">
        <v>0</v>
      </c>
      <c r="W77" s="191">
        <v>0</v>
      </c>
      <c r="X77" s="190">
        <f>0+4</f>
        <v>4</v>
      </c>
      <c r="Y77" s="140" t="s">
        <v>168</v>
      </c>
    </row>
    <row r="78" spans="1:26" ht="15" customHeight="1">
      <c r="A78" s="166"/>
      <c r="B78" s="363" t="s">
        <v>164</v>
      </c>
      <c r="C78" s="363"/>
      <c r="D78" s="363"/>
      <c r="E78" s="167"/>
      <c r="F78" s="146" t="s">
        <v>87</v>
      </c>
      <c r="G78" s="162"/>
      <c r="H78" s="161">
        <f t="shared" si="4"/>
        <v>339</v>
      </c>
      <c r="I78" s="189">
        <v>0</v>
      </c>
      <c r="J78" s="159">
        <v>86</v>
      </c>
      <c r="K78" s="159">
        <v>0</v>
      </c>
      <c r="L78" s="159">
        <v>0</v>
      </c>
      <c r="M78" s="159">
        <v>0</v>
      </c>
      <c r="N78" s="159">
        <v>0</v>
      </c>
      <c r="O78" s="159">
        <v>0</v>
      </c>
      <c r="P78" s="159">
        <v>0</v>
      </c>
      <c r="Q78" s="159">
        <v>0</v>
      </c>
      <c r="R78" s="159">
        <v>0</v>
      </c>
      <c r="S78" s="159">
        <v>0</v>
      </c>
      <c r="T78" s="159">
        <v>0</v>
      </c>
      <c r="U78" s="159">
        <v>0</v>
      </c>
      <c r="V78" s="159">
        <v>0</v>
      </c>
      <c r="W78" s="159">
        <v>0</v>
      </c>
      <c r="X78" s="158">
        <v>253</v>
      </c>
    </row>
    <row r="79" spans="1:26" ht="15" customHeight="1">
      <c r="A79" s="166"/>
      <c r="B79" s="146" t="s">
        <v>167</v>
      </c>
      <c r="C79" s="195"/>
      <c r="D79" s="193" t="s">
        <v>164</v>
      </c>
      <c r="E79" s="198"/>
      <c r="F79" s="146" t="s">
        <v>39</v>
      </c>
      <c r="G79" s="162"/>
      <c r="H79" s="161">
        <f t="shared" si="4"/>
        <v>10797</v>
      </c>
      <c r="I79" s="192">
        <v>10</v>
      </c>
      <c r="J79" s="191">
        <v>0</v>
      </c>
      <c r="K79" s="191">
        <v>0</v>
      </c>
      <c r="L79" s="191">
        <f>17+38</f>
        <v>55</v>
      </c>
      <c r="M79" s="191">
        <v>8</v>
      </c>
      <c r="N79" s="191">
        <f>15+31</f>
        <v>46</v>
      </c>
      <c r="O79" s="191">
        <v>2</v>
      </c>
      <c r="P79" s="191">
        <v>0</v>
      </c>
      <c r="Q79" s="191">
        <v>5</v>
      </c>
      <c r="R79" s="191">
        <v>0</v>
      </c>
      <c r="S79" s="191">
        <f>5+1621+8938</f>
        <v>10564</v>
      </c>
      <c r="T79" s="191">
        <v>0</v>
      </c>
      <c r="U79" s="191">
        <v>3</v>
      </c>
      <c r="V79" s="191">
        <v>0</v>
      </c>
      <c r="W79" s="191">
        <v>0</v>
      </c>
      <c r="X79" s="190">
        <f>17+87</f>
        <v>104</v>
      </c>
    </row>
    <row r="80" spans="1:26" ht="15" customHeight="1">
      <c r="A80" s="166"/>
      <c r="B80" s="363" t="s">
        <v>164</v>
      </c>
      <c r="C80" s="363"/>
      <c r="D80" s="363"/>
      <c r="E80" s="167"/>
      <c r="F80" s="146" t="s">
        <v>87</v>
      </c>
      <c r="G80" s="162"/>
      <c r="H80" s="161">
        <f t="shared" si="4"/>
        <v>160</v>
      </c>
      <c r="I80" s="189">
        <v>0</v>
      </c>
      <c r="J80" s="159">
        <v>0</v>
      </c>
      <c r="K80" s="159">
        <v>0</v>
      </c>
      <c r="L80" s="159">
        <v>0</v>
      </c>
      <c r="M80" s="159">
        <v>0</v>
      </c>
      <c r="N80" s="159">
        <v>0</v>
      </c>
      <c r="O80" s="159">
        <v>0</v>
      </c>
      <c r="P80" s="159">
        <v>0</v>
      </c>
      <c r="Q80" s="159">
        <v>0</v>
      </c>
      <c r="R80" s="159">
        <v>0</v>
      </c>
      <c r="S80" s="159">
        <v>0</v>
      </c>
      <c r="T80" s="159">
        <v>0</v>
      </c>
      <c r="U80" s="159">
        <v>0</v>
      </c>
      <c r="V80" s="159">
        <v>0</v>
      </c>
      <c r="W80" s="159">
        <v>0</v>
      </c>
      <c r="X80" s="158">
        <v>160</v>
      </c>
    </row>
    <row r="81" spans="1:24" ht="15" customHeight="1">
      <c r="A81" s="166"/>
      <c r="B81" s="146" t="s">
        <v>166</v>
      </c>
      <c r="C81" s="195"/>
      <c r="D81" s="193" t="s">
        <v>164</v>
      </c>
      <c r="E81" s="198"/>
      <c r="F81" s="146" t="s">
        <v>39</v>
      </c>
      <c r="G81" s="162"/>
      <c r="H81" s="161">
        <f t="shared" si="4"/>
        <v>27</v>
      </c>
      <c r="I81" s="192">
        <v>0</v>
      </c>
      <c r="J81" s="191">
        <v>0</v>
      </c>
      <c r="K81" s="191">
        <v>0</v>
      </c>
      <c r="L81" s="191">
        <v>16</v>
      </c>
      <c r="M81" s="191">
        <v>5</v>
      </c>
      <c r="N81" s="191">
        <v>6</v>
      </c>
      <c r="O81" s="191">
        <v>0</v>
      </c>
      <c r="P81" s="191">
        <v>0</v>
      </c>
      <c r="Q81" s="191">
        <v>0</v>
      </c>
      <c r="R81" s="191">
        <v>0</v>
      </c>
      <c r="S81" s="191">
        <v>0</v>
      </c>
      <c r="T81" s="191">
        <v>0</v>
      </c>
      <c r="U81" s="191">
        <v>0</v>
      </c>
      <c r="V81" s="191">
        <v>0</v>
      </c>
      <c r="W81" s="191">
        <v>0</v>
      </c>
      <c r="X81" s="190">
        <v>0</v>
      </c>
    </row>
    <row r="82" spans="1:24" ht="15" customHeight="1">
      <c r="A82" s="166"/>
      <c r="B82" s="363" t="s">
        <v>164</v>
      </c>
      <c r="C82" s="363"/>
      <c r="D82" s="363"/>
      <c r="E82" s="167"/>
      <c r="F82" s="146" t="s">
        <v>87</v>
      </c>
      <c r="G82" s="162"/>
      <c r="H82" s="161">
        <f t="shared" si="4"/>
        <v>0</v>
      </c>
      <c r="I82" s="189">
        <v>0</v>
      </c>
      <c r="J82" s="159">
        <v>0</v>
      </c>
      <c r="K82" s="159">
        <v>0</v>
      </c>
      <c r="L82" s="159">
        <v>0</v>
      </c>
      <c r="M82" s="159">
        <v>0</v>
      </c>
      <c r="N82" s="159">
        <v>0</v>
      </c>
      <c r="O82" s="159">
        <v>0</v>
      </c>
      <c r="P82" s="159">
        <v>0</v>
      </c>
      <c r="Q82" s="159">
        <v>0</v>
      </c>
      <c r="R82" s="159">
        <v>0</v>
      </c>
      <c r="S82" s="159">
        <v>0</v>
      </c>
      <c r="T82" s="159">
        <v>0</v>
      </c>
      <c r="U82" s="159">
        <v>0</v>
      </c>
      <c r="V82" s="159">
        <v>0</v>
      </c>
      <c r="W82" s="159">
        <v>0</v>
      </c>
      <c r="X82" s="158">
        <v>0</v>
      </c>
    </row>
    <row r="83" spans="1:24" ht="15" customHeight="1">
      <c r="A83" s="166"/>
      <c r="B83" s="146" t="s">
        <v>165</v>
      </c>
      <c r="C83" s="195"/>
      <c r="D83" s="193" t="s">
        <v>164</v>
      </c>
      <c r="E83" s="198"/>
      <c r="F83" s="146" t="s">
        <v>39</v>
      </c>
      <c r="G83" s="162"/>
      <c r="H83" s="161">
        <f t="shared" si="4"/>
        <v>40</v>
      </c>
      <c r="I83" s="192">
        <v>0</v>
      </c>
      <c r="J83" s="191">
        <v>0</v>
      </c>
      <c r="K83" s="191">
        <v>0</v>
      </c>
      <c r="L83" s="191">
        <v>11</v>
      </c>
      <c r="M83" s="191">
        <v>12</v>
      </c>
      <c r="N83" s="191">
        <v>8</v>
      </c>
      <c r="O83" s="191">
        <v>1</v>
      </c>
      <c r="P83" s="191">
        <v>3</v>
      </c>
      <c r="Q83" s="191">
        <v>3</v>
      </c>
      <c r="R83" s="191">
        <v>0</v>
      </c>
      <c r="S83" s="191">
        <v>1</v>
      </c>
      <c r="T83" s="191">
        <v>0</v>
      </c>
      <c r="U83" s="191">
        <v>0</v>
      </c>
      <c r="V83" s="191">
        <v>0</v>
      </c>
      <c r="W83" s="191">
        <v>0</v>
      </c>
      <c r="X83" s="190">
        <v>1</v>
      </c>
    </row>
    <row r="84" spans="1:24" ht="15" customHeight="1">
      <c r="A84" s="166"/>
      <c r="B84" s="363" t="s">
        <v>164</v>
      </c>
      <c r="C84" s="363"/>
      <c r="D84" s="363"/>
      <c r="E84" s="167"/>
      <c r="F84" s="146" t="s">
        <v>87</v>
      </c>
      <c r="G84" s="162"/>
      <c r="H84" s="161">
        <f t="shared" si="4"/>
        <v>0</v>
      </c>
      <c r="I84" s="189">
        <v>0</v>
      </c>
      <c r="J84" s="159">
        <v>0</v>
      </c>
      <c r="K84" s="159">
        <v>0</v>
      </c>
      <c r="L84" s="159">
        <v>0</v>
      </c>
      <c r="M84" s="159">
        <v>0</v>
      </c>
      <c r="N84" s="159">
        <v>0</v>
      </c>
      <c r="O84" s="159">
        <v>0</v>
      </c>
      <c r="P84" s="159">
        <v>0</v>
      </c>
      <c r="Q84" s="159">
        <v>0</v>
      </c>
      <c r="R84" s="159">
        <v>0</v>
      </c>
      <c r="S84" s="159">
        <v>0</v>
      </c>
      <c r="T84" s="159">
        <v>0</v>
      </c>
      <c r="U84" s="159">
        <v>0</v>
      </c>
      <c r="V84" s="159">
        <v>0</v>
      </c>
      <c r="W84" s="159">
        <v>0</v>
      </c>
      <c r="X84" s="158">
        <v>0</v>
      </c>
    </row>
    <row r="85" spans="1:24" ht="15" customHeight="1">
      <c r="A85" s="166"/>
      <c r="B85" s="146" t="s">
        <v>163</v>
      </c>
      <c r="C85" s="195"/>
      <c r="D85" s="193" t="s">
        <v>101</v>
      </c>
      <c r="E85" s="198"/>
      <c r="F85" s="146" t="s">
        <v>39</v>
      </c>
      <c r="G85" s="162"/>
      <c r="H85" s="161">
        <f t="shared" si="4"/>
        <v>21</v>
      </c>
      <c r="I85" s="192">
        <v>0</v>
      </c>
      <c r="J85" s="191">
        <v>0</v>
      </c>
      <c r="K85" s="191">
        <v>0</v>
      </c>
      <c r="L85" s="191">
        <v>6</v>
      </c>
      <c r="M85" s="191">
        <v>8</v>
      </c>
      <c r="N85" s="191">
        <v>3</v>
      </c>
      <c r="O85" s="191">
        <v>0</v>
      </c>
      <c r="P85" s="191">
        <v>0</v>
      </c>
      <c r="Q85" s="191">
        <v>1</v>
      </c>
      <c r="R85" s="191">
        <v>0</v>
      </c>
      <c r="S85" s="191">
        <v>1</v>
      </c>
      <c r="T85" s="191">
        <v>0</v>
      </c>
      <c r="U85" s="191">
        <v>2</v>
      </c>
      <c r="V85" s="191">
        <v>0</v>
      </c>
      <c r="W85" s="191">
        <v>0</v>
      </c>
      <c r="X85" s="190">
        <v>0</v>
      </c>
    </row>
    <row r="86" spans="1:24" ht="15" customHeight="1">
      <c r="A86" s="166"/>
      <c r="B86" s="363" t="s">
        <v>101</v>
      </c>
      <c r="C86" s="363"/>
      <c r="D86" s="363"/>
      <c r="E86" s="167"/>
      <c r="F86" s="146" t="s">
        <v>87</v>
      </c>
      <c r="G86" s="162"/>
      <c r="H86" s="161">
        <f t="shared" si="4"/>
        <v>0</v>
      </c>
      <c r="I86" s="189">
        <v>0</v>
      </c>
      <c r="J86" s="159">
        <v>0</v>
      </c>
      <c r="K86" s="159">
        <v>0</v>
      </c>
      <c r="L86" s="159">
        <v>0</v>
      </c>
      <c r="M86" s="159">
        <v>0</v>
      </c>
      <c r="N86" s="159">
        <v>0</v>
      </c>
      <c r="O86" s="159">
        <v>0</v>
      </c>
      <c r="P86" s="159">
        <v>0</v>
      </c>
      <c r="Q86" s="159">
        <v>0</v>
      </c>
      <c r="R86" s="159">
        <v>0</v>
      </c>
      <c r="S86" s="159">
        <v>0</v>
      </c>
      <c r="T86" s="159">
        <v>0</v>
      </c>
      <c r="U86" s="159">
        <v>0</v>
      </c>
      <c r="V86" s="159">
        <v>0</v>
      </c>
      <c r="W86" s="159">
        <v>0</v>
      </c>
      <c r="X86" s="158">
        <v>0</v>
      </c>
    </row>
    <row r="87" spans="1:24" ht="15" customHeight="1">
      <c r="A87" s="166"/>
      <c r="B87" s="146" t="s">
        <v>162</v>
      </c>
      <c r="C87" s="195"/>
      <c r="D87" s="193" t="s">
        <v>160</v>
      </c>
      <c r="E87" s="198"/>
      <c r="F87" s="146" t="s">
        <v>39</v>
      </c>
      <c r="G87" s="162"/>
      <c r="H87" s="161">
        <f t="shared" si="4"/>
        <v>487</v>
      </c>
      <c r="I87" s="192">
        <v>36</v>
      </c>
      <c r="J87" s="191">
        <v>1</v>
      </c>
      <c r="K87" s="191">
        <v>0</v>
      </c>
      <c r="L87" s="191">
        <v>50</v>
      </c>
      <c r="M87" s="191">
        <v>53</v>
      </c>
      <c r="N87" s="191">
        <v>127</v>
      </c>
      <c r="O87" s="191">
        <v>6</v>
      </c>
      <c r="P87" s="191">
        <v>14</v>
      </c>
      <c r="Q87" s="191">
        <v>33</v>
      </c>
      <c r="R87" s="191">
        <v>0</v>
      </c>
      <c r="S87" s="191">
        <v>11</v>
      </c>
      <c r="T87" s="191">
        <v>0</v>
      </c>
      <c r="U87" s="191">
        <v>1</v>
      </c>
      <c r="V87" s="191">
        <v>0</v>
      </c>
      <c r="W87" s="191">
        <v>0</v>
      </c>
      <c r="X87" s="190">
        <v>155</v>
      </c>
    </row>
    <row r="88" spans="1:24" ht="15" customHeight="1">
      <c r="A88" s="166"/>
      <c r="B88" s="363" t="s">
        <v>160</v>
      </c>
      <c r="C88" s="363"/>
      <c r="D88" s="363"/>
      <c r="E88" s="167"/>
      <c r="F88" s="146" t="s">
        <v>87</v>
      </c>
      <c r="G88" s="162"/>
      <c r="H88" s="161">
        <f t="shared" si="4"/>
        <v>0</v>
      </c>
      <c r="I88" s="189">
        <v>0</v>
      </c>
      <c r="J88" s="159">
        <v>0</v>
      </c>
      <c r="K88" s="159">
        <v>0</v>
      </c>
      <c r="L88" s="159">
        <v>0</v>
      </c>
      <c r="M88" s="159">
        <v>0</v>
      </c>
      <c r="N88" s="159">
        <v>0</v>
      </c>
      <c r="O88" s="159">
        <v>0</v>
      </c>
      <c r="P88" s="159">
        <v>0</v>
      </c>
      <c r="Q88" s="159">
        <v>0</v>
      </c>
      <c r="R88" s="159">
        <v>0</v>
      </c>
      <c r="S88" s="159">
        <v>0</v>
      </c>
      <c r="T88" s="159">
        <v>0</v>
      </c>
      <c r="U88" s="159">
        <v>0</v>
      </c>
      <c r="V88" s="159">
        <v>0</v>
      </c>
      <c r="W88" s="159">
        <v>0</v>
      </c>
      <c r="X88" s="158">
        <v>0</v>
      </c>
    </row>
    <row r="89" spans="1:24" ht="15" customHeight="1">
      <c r="A89" s="166"/>
      <c r="B89" s="146" t="s">
        <v>161</v>
      </c>
      <c r="C89" s="195"/>
      <c r="D89" s="193" t="s">
        <v>160</v>
      </c>
      <c r="E89" s="198"/>
      <c r="F89" s="146" t="s">
        <v>39</v>
      </c>
      <c r="G89" s="162"/>
      <c r="H89" s="161">
        <f t="shared" si="4"/>
        <v>53</v>
      </c>
      <c r="I89" s="192">
        <v>3</v>
      </c>
      <c r="J89" s="191">
        <v>0</v>
      </c>
      <c r="K89" s="191">
        <v>0</v>
      </c>
      <c r="L89" s="191">
        <v>9</v>
      </c>
      <c r="M89" s="191">
        <v>6</v>
      </c>
      <c r="N89" s="191">
        <v>19</v>
      </c>
      <c r="O89" s="191">
        <v>1</v>
      </c>
      <c r="P89" s="191">
        <v>3</v>
      </c>
      <c r="Q89" s="191">
        <v>8</v>
      </c>
      <c r="R89" s="191">
        <v>1</v>
      </c>
      <c r="S89" s="191">
        <v>3</v>
      </c>
      <c r="T89" s="191">
        <v>0</v>
      </c>
      <c r="U89" s="191">
        <v>0</v>
      </c>
      <c r="V89" s="191">
        <v>0</v>
      </c>
      <c r="W89" s="191">
        <v>0</v>
      </c>
      <c r="X89" s="190">
        <v>0</v>
      </c>
    </row>
    <row r="90" spans="1:24" ht="15" customHeight="1">
      <c r="A90" s="166"/>
      <c r="B90" s="363" t="s">
        <v>160</v>
      </c>
      <c r="C90" s="363"/>
      <c r="D90" s="363"/>
      <c r="E90" s="167"/>
      <c r="F90" s="146" t="s">
        <v>87</v>
      </c>
      <c r="G90" s="162"/>
      <c r="H90" s="161">
        <f t="shared" si="4"/>
        <v>242</v>
      </c>
      <c r="I90" s="189">
        <v>0</v>
      </c>
      <c r="J90" s="159">
        <v>154</v>
      </c>
      <c r="K90" s="159">
        <v>0</v>
      </c>
      <c r="L90" s="159">
        <v>0</v>
      </c>
      <c r="M90" s="159">
        <v>2</v>
      </c>
      <c r="N90" s="159">
        <v>0</v>
      </c>
      <c r="O90" s="159">
        <v>0</v>
      </c>
      <c r="P90" s="159">
        <v>0</v>
      </c>
      <c r="Q90" s="159">
        <v>0</v>
      </c>
      <c r="R90" s="159">
        <v>0</v>
      </c>
      <c r="S90" s="159">
        <v>86</v>
      </c>
      <c r="T90" s="159">
        <v>0</v>
      </c>
      <c r="U90" s="159">
        <v>0</v>
      </c>
      <c r="V90" s="159">
        <v>0</v>
      </c>
      <c r="W90" s="159">
        <v>0</v>
      </c>
      <c r="X90" s="158">
        <v>0</v>
      </c>
    </row>
    <row r="91" spans="1:24" ht="15" customHeight="1">
      <c r="A91" s="166"/>
      <c r="B91" s="146" t="s">
        <v>159</v>
      </c>
      <c r="C91" s="195"/>
      <c r="D91" s="193" t="s">
        <v>158</v>
      </c>
      <c r="E91" s="198"/>
      <c r="F91" s="146" t="s">
        <v>39</v>
      </c>
      <c r="G91" s="162"/>
      <c r="H91" s="161">
        <f t="shared" si="4"/>
        <v>96</v>
      </c>
      <c r="I91" s="192">
        <v>2</v>
      </c>
      <c r="J91" s="191">
        <v>0</v>
      </c>
      <c r="K91" s="191">
        <v>0</v>
      </c>
      <c r="L91" s="191">
        <v>1</v>
      </c>
      <c r="M91" s="191">
        <v>8</v>
      </c>
      <c r="N91" s="191">
        <v>30</v>
      </c>
      <c r="O91" s="191">
        <v>0</v>
      </c>
      <c r="P91" s="191">
        <v>5</v>
      </c>
      <c r="Q91" s="191">
        <v>6</v>
      </c>
      <c r="R91" s="191">
        <v>0</v>
      </c>
      <c r="S91" s="191">
        <v>4</v>
      </c>
      <c r="T91" s="191">
        <v>0</v>
      </c>
      <c r="U91" s="191">
        <v>15</v>
      </c>
      <c r="V91" s="191">
        <v>0</v>
      </c>
      <c r="W91" s="191">
        <v>0</v>
      </c>
      <c r="X91" s="190">
        <v>25</v>
      </c>
    </row>
    <row r="92" spans="1:24" ht="15" customHeight="1">
      <c r="A92" s="166"/>
      <c r="B92" s="363" t="s">
        <v>158</v>
      </c>
      <c r="C92" s="363"/>
      <c r="D92" s="363"/>
      <c r="E92" s="167"/>
      <c r="F92" s="146" t="s">
        <v>87</v>
      </c>
      <c r="G92" s="162"/>
      <c r="H92" s="161">
        <f t="shared" si="4"/>
        <v>0</v>
      </c>
      <c r="I92" s="189">
        <v>0</v>
      </c>
      <c r="J92" s="159">
        <v>0</v>
      </c>
      <c r="K92" s="159">
        <v>0</v>
      </c>
      <c r="L92" s="159">
        <v>0</v>
      </c>
      <c r="M92" s="159">
        <v>0</v>
      </c>
      <c r="N92" s="159">
        <v>0</v>
      </c>
      <c r="O92" s="159">
        <v>0</v>
      </c>
      <c r="P92" s="159">
        <v>0</v>
      </c>
      <c r="Q92" s="159">
        <v>0</v>
      </c>
      <c r="R92" s="159">
        <v>0</v>
      </c>
      <c r="S92" s="159">
        <v>0</v>
      </c>
      <c r="T92" s="159">
        <v>0</v>
      </c>
      <c r="U92" s="159">
        <v>0</v>
      </c>
      <c r="V92" s="159">
        <v>0</v>
      </c>
      <c r="W92" s="159">
        <v>0</v>
      </c>
      <c r="X92" s="158">
        <v>0</v>
      </c>
    </row>
    <row r="93" spans="1:24" ht="15" customHeight="1">
      <c r="A93" s="166"/>
      <c r="B93" s="146" t="s">
        <v>157</v>
      </c>
      <c r="C93" s="195"/>
      <c r="D93" s="193" t="s">
        <v>148</v>
      </c>
      <c r="E93" s="198"/>
      <c r="F93" s="146" t="s">
        <v>39</v>
      </c>
      <c r="G93" s="162"/>
      <c r="H93" s="161">
        <f t="shared" si="4"/>
        <v>51</v>
      </c>
      <c r="I93" s="192">
        <v>6</v>
      </c>
      <c r="J93" s="191">
        <v>0</v>
      </c>
      <c r="K93" s="191">
        <v>0</v>
      </c>
      <c r="L93" s="191">
        <v>4</v>
      </c>
      <c r="M93" s="191">
        <v>4</v>
      </c>
      <c r="N93" s="191">
        <v>13</v>
      </c>
      <c r="O93" s="191">
        <v>1</v>
      </c>
      <c r="P93" s="191">
        <v>0</v>
      </c>
      <c r="Q93" s="191">
        <v>15</v>
      </c>
      <c r="R93" s="191">
        <v>0</v>
      </c>
      <c r="S93" s="191">
        <v>1</v>
      </c>
      <c r="T93" s="191">
        <v>0</v>
      </c>
      <c r="U93" s="191">
        <v>7</v>
      </c>
      <c r="V93" s="191">
        <v>0</v>
      </c>
      <c r="W93" s="191">
        <v>0</v>
      </c>
      <c r="X93" s="190">
        <v>0</v>
      </c>
    </row>
    <row r="94" spans="1:24" ht="15" customHeight="1">
      <c r="A94" s="166"/>
      <c r="B94" s="363" t="s">
        <v>148</v>
      </c>
      <c r="C94" s="363"/>
      <c r="D94" s="363"/>
      <c r="E94" s="167"/>
      <c r="F94" s="146" t="s">
        <v>87</v>
      </c>
      <c r="G94" s="162"/>
      <c r="H94" s="161">
        <f t="shared" si="4"/>
        <v>0</v>
      </c>
      <c r="I94" s="189">
        <v>0</v>
      </c>
      <c r="J94" s="159">
        <v>0</v>
      </c>
      <c r="K94" s="159">
        <v>0</v>
      </c>
      <c r="L94" s="159">
        <v>0</v>
      </c>
      <c r="M94" s="159">
        <v>0</v>
      </c>
      <c r="N94" s="159">
        <v>0</v>
      </c>
      <c r="O94" s="159">
        <v>0</v>
      </c>
      <c r="P94" s="159">
        <v>0</v>
      </c>
      <c r="Q94" s="159">
        <v>0</v>
      </c>
      <c r="R94" s="159">
        <v>0</v>
      </c>
      <c r="S94" s="159">
        <v>0</v>
      </c>
      <c r="T94" s="159">
        <v>0</v>
      </c>
      <c r="U94" s="159">
        <v>0</v>
      </c>
      <c r="V94" s="159">
        <v>0</v>
      </c>
      <c r="W94" s="159">
        <v>0</v>
      </c>
      <c r="X94" s="158">
        <v>0</v>
      </c>
    </row>
    <row r="95" spans="1:24" ht="15" customHeight="1">
      <c r="A95" s="166"/>
      <c r="B95" s="146" t="s">
        <v>156</v>
      </c>
      <c r="C95" s="165"/>
      <c r="D95" s="194" t="s">
        <v>155</v>
      </c>
      <c r="E95" s="205"/>
      <c r="F95" s="146" t="s">
        <v>39</v>
      </c>
      <c r="G95" s="162"/>
      <c r="H95" s="161">
        <f t="shared" si="4"/>
        <v>3120</v>
      </c>
      <c r="I95" s="192">
        <f>6+3</f>
        <v>9</v>
      </c>
      <c r="J95" s="191">
        <v>8</v>
      </c>
      <c r="K95" s="191">
        <v>0</v>
      </c>
      <c r="L95" s="191">
        <v>12</v>
      </c>
      <c r="M95" s="191">
        <v>35</v>
      </c>
      <c r="N95" s="191">
        <v>53</v>
      </c>
      <c r="O95" s="191">
        <v>0</v>
      </c>
      <c r="P95" s="191">
        <v>6</v>
      </c>
      <c r="Q95" s="191">
        <v>17</v>
      </c>
      <c r="R95" s="191">
        <v>0</v>
      </c>
      <c r="S95" s="191">
        <f>10+2956</f>
        <v>2966</v>
      </c>
      <c r="T95" s="191">
        <v>0</v>
      </c>
      <c r="U95" s="191">
        <v>8</v>
      </c>
      <c r="V95" s="191">
        <v>0</v>
      </c>
      <c r="W95" s="191">
        <v>0</v>
      </c>
      <c r="X95" s="190">
        <v>6</v>
      </c>
    </row>
    <row r="96" spans="1:24" ht="15" customHeight="1">
      <c r="A96" s="166"/>
      <c r="B96" s="363" t="s">
        <v>148</v>
      </c>
      <c r="C96" s="363"/>
      <c r="D96" s="363"/>
      <c r="E96" s="167"/>
      <c r="F96" s="146" t="s">
        <v>87</v>
      </c>
      <c r="G96" s="162"/>
      <c r="H96" s="161">
        <f t="shared" si="4"/>
        <v>0</v>
      </c>
      <c r="I96" s="189">
        <v>0</v>
      </c>
      <c r="J96" s="159">
        <v>0</v>
      </c>
      <c r="K96" s="159">
        <v>0</v>
      </c>
      <c r="L96" s="159">
        <v>0</v>
      </c>
      <c r="M96" s="159">
        <v>0</v>
      </c>
      <c r="N96" s="159">
        <v>0</v>
      </c>
      <c r="O96" s="159">
        <v>0</v>
      </c>
      <c r="P96" s="159">
        <v>0</v>
      </c>
      <c r="Q96" s="159">
        <v>0</v>
      </c>
      <c r="R96" s="159">
        <v>0</v>
      </c>
      <c r="S96" s="159">
        <v>0</v>
      </c>
      <c r="T96" s="159">
        <v>0</v>
      </c>
      <c r="U96" s="159">
        <v>0</v>
      </c>
      <c r="V96" s="159">
        <v>0</v>
      </c>
      <c r="W96" s="159">
        <v>0</v>
      </c>
      <c r="X96" s="158">
        <v>0</v>
      </c>
    </row>
    <row r="97" spans="1:25" ht="15" customHeight="1">
      <c r="A97" s="166"/>
      <c r="B97" s="146" t="s">
        <v>154</v>
      </c>
      <c r="C97" s="195"/>
      <c r="D97" s="194" t="s">
        <v>111</v>
      </c>
      <c r="E97" s="194"/>
      <c r="F97" s="146" t="s">
        <v>39</v>
      </c>
      <c r="G97" s="162"/>
      <c r="H97" s="161">
        <f t="shared" si="4"/>
        <v>455</v>
      </c>
      <c r="I97" s="192">
        <v>7</v>
      </c>
      <c r="J97" s="191">
        <v>0</v>
      </c>
      <c r="K97" s="191">
        <v>0</v>
      </c>
      <c r="L97" s="191">
        <v>57</v>
      </c>
      <c r="M97" s="191">
        <v>112</v>
      </c>
      <c r="N97" s="191">
        <v>146</v>
      </c>
      <c r="O97" s="191">
        <v>0</v>
      </c>
      <c r="P97" s="191">
        <v>5</v>
      </c>
      <c r="Q97" s="191">
        <v>50</v>
      </c>
      <c r="R97" s="191">
        <v>5</v>
      </c>
      <c r="S97" s="191">
        <v>5</v>
      </c>
      <c r="T97" s="191">
        <v>0</v>
      </c>
      <c r="U97" s="191">
        <v>17</v>
      </c>
      <c r="V97" s="191">
        <v>0</v>
      </c>
      <c r="W97" s="191">
        <v>0</v>
      </c>
      <c r="X97" s="190">
        <v>51</v>
      </c>
    </row>
    <row r="98" spans="1:25" ht="15" customHeight="1">
      <c r="A98" s="166"/>
      <c r="B98" s="363" t="s">
        <v>153</v>
      </c>
      <c r="C98" s="363"/>
      <c r="D98" s="363"/>
      <c r="E98" s="167"/>
      <c r="F98" s="146" t="s">
        <v>87</v>
      </c>
      <c r="G98" s="162"/>
      <c r="H98" s="161">
        <f t="shared" si="4"/>
        <v>15</v>
      </c>
      <c r="I98" s="189">
        <v>0</v>
      </c>
      <c r="J98" s="159">
        <v>15</v>
      </c>
      <c r="K98" s="159">
        <v>0</v>
      </c>
      <c r="L98" s="159">
        <v>0</v>
      </c>
      <c r="M98" s="159">
        <v>0</v>
      </c>
      <c r="N98" s="159">
        <v>0</v>
      </c>
      <c r="O98" s="159">
        <v>0</v>
      </c>
      <c r="P98" s="159">
        <v>0</v>
      </c>
      <c r="Q98" s="159">
        <v>0</v>
      </c>
      <c r="R98" s="159">
        <v>0</v>
      </c>
      <c r="S98" s="159">
        <v>0</v>
      </c>
      <c r="T98" s="159">
        <v>0</v>
      </c>
      <c r="U98" s="159">
        <v>0</v>
      </c>
      <c r="V98" s="159">
        <v>0</v>
      </c>
      <c r="W98" s="159">
        <v>0</v>
      </c>
      <c r="X98" s="158">
        <v>0</v>
      </c>
    </row>
    <row r="99" spans="1:25" ht="15" customHeight="1">
      <c r="A99" s="166"/>
      <c r="B99" s="146" t="s">
        <v>152</v>
      </c>
      <c r="C99" s="195"/>
      <c r="D99" s="193" t="s">
        <v>92</v>
      </c>
      <c r="E99" s="194"/>
      <c r="F99" s="146" t="s">
        <v>39</v>
      </c>
      <c r="G99" s="162"/>
      <c r="H99" s="161">
        <f t="shared" si="4"/>
        <v>119</v>
      </c>
      <c r="I99" s="192">
        <v>14</v>
      </c>
      <c r="J99" s="191">
        <v>0</v>
      </c>
      <c r="K99" s="191">
        <v>0</v>
      </c>
      <c r="L99" s="191">
        <v>15</v>
      </c>
      <c r="M99" s="191">
        <v>2</v>
      </c>
      <c r="N99" s="191">
        <v>43</v>
      </c>
      <c r="O99" s="191">
        <v>0</v>
      </c>
      <c r="P99" s="191">
        <v>2</v>
      </c>
      <c r="Q99" s="191">
        <v>8</v>
      </c>
      <c r="R99" s="191">
        <v>0</v>
      </c>
      <c r="S99" s="191">
        <v>3</v>
      </c>
      <c r="T99" s="191">
        <v>2</v>
      </c>
      <c r="U99" s="191">
        <v>23</v>
      </c>
      <c r="V99" s="191">
        <v>0</v>
      </c>
      <c r="W99" s="191">
        <v>0</v>
      </c>
      <c r="X99" s="190">
        <v>7</v>
      </c>
    </row>
    <row r="100" spans="1:25" ht="15" customHeight="1" thickBot="1">
      <c r="A100" s="157"/>
      <c r="B100" s="364" t="s">
        <v>92</v>
      </c>
      <c r="C100" s="364"/>
      <c r="D100" s="364"/>
      <c r="E100" s="156"/>
      <c r="F100" s="155" t="s">
        <v>87</v>
      </c>
      <c r="G100" s="154"/>
      <c r="H100" s="153">
        <f t="shared" si="4"/>
        <v>0</v>
      </c>
      <c r="I100" s="152">
        <v>0</v>
      </c>
      <c r="J100" s="151">
        <v>0</v>
      </c>
      <c r="K100" s="151">
        <v>0</v>
      </c>
      <c r="L100" s="151">
        <v>0</v>
      </c>
      <c r="M100" s="151">
        <v>0</v>
      </c>
      <c r="N100" s="151">
        <v>0</v>
      </c>
      <c r="O100" s="151">
        <v>0</v>
      </c>
      <c r="P100" s="151">
        <v>0</v>
      </c>
      <c r="Q100" s="151">
        <v>0</v>
      </c>
      <c r="R100" s="151">
        <v>0</v>
      </c>
      <c r="S100" s="151">
        <v>0</v>
      </c>
      <c r="T100" s="151">
        <v>0</v>
      </c>
      <c r="U100" s="151">
        <v>0</v>
      </c>
      <c r="V100" s="151">
        <v>0</v>
      </c>
      <c r="W100" s="151">
        <v>0</v>
      </c>
      <c r="X100" s="150">
        <v>0</v>
      </c>
      <c r="Y100" s="143"/>
    </row>
    <row r="101" spans="1:25" s="143" customFormat="1" ht="9.1999999999999993" customHeight="1" thickBot="1">
      <c r="A101" s="188"/>
      <c r="B101" s="187"/>
      <c r="C101" s="187"/>
      <c r="D101" s="187"/>
      <c r="E101" s="187"/>
      <c r="F101" s="187"/>
      <c r="G101" s="187"/>
      <c r="H101" s="186"/>
      <c r="I101" s="185"/>
      <c r="J101" s="185"/>
      <c r="K101" s="185"/>
      <c r="L101" s="185"/>
      <c r="M101" s="185"/>
      <c r="N101" s="185"/>
      <c r="O101" s="185"/>
      <c r="P101" s="185"/>
      <c r="Q101" s="185"/>
      <c r="R101" s="185"/>
      <c r="S101" s="185"/>
      <c r="T101" s="185"/>
      <c r="U101" s="185"/>
      <c r="V101" s="185"/>
      <c r="W101" s="185"/>
      <c r="X101" s="185"/>
    </row>
    <row r="102" spans="1:25" s="143" customFormat="1" ht="54" customHeight="1">
      <c r="A102" s="366" t="s">
        <v>91</v>
      </c>
      <c r="B102" s="367"/>
      <c r="C102" s="367"/>
      <c r="D102" s="367"/>
      <c r="E102" s="367"/>
      <c r="F102" s="367"/>
      <c r="G102" s="368"/>
      <c r="H102" s="184" t="s">
        <v>16</v>
      </c>
      <c r="I102" s="183" t="s">
        <v>15</v>
      </c>
      <c r="J102" s="181" t="s">
        <v>14</v>
      </c>
      <c r="K102" s="181" t="s">
        <v>13</v>
      </c>
      <c r="L102" s="181" t="s">
        <v>12</v>
      </c>
      <c r="M102" s="181" t="s">
        <v>11</v>
      </c>
      <c r="N102" s="181" t="s">
        <v>10</v>
      </c>
      <c r="O102" s="181" t="s">
        <v>9</v>
      </c>
      <c r="P102" s="181" t="s">
        <v>8</v>
      </c>
      <c r="Q102" s="181" t="s">
        <v>7</v>
      </c>
      <c r="R102" s="181" t="s">
        <v>6</v>
      </c>
      <c r="S102" s="182" t="s">
        <v>5</v>
      </c>
      <c r="T102" s="181" t="s">
        <v>4</v>
      </c>
      <c r="U102" s="181" t="s">
        <v>3</v>
      </c>
      <c r="V102" s="181" t="s">
        <v>2</v>
      </c>
      <c r="W102" s="181" t="s">
        <v>1</v>
      </c>
      <c r="X102" s="180" t="s">
        <v>0</v>
      </c>
    </row>
    <row r="103" spans="1:25" s="143" customFormat="1" ht="9.1999999999999993" customHeight="1" thickBot="1">
      <c r="A103" s="369"/>
      <c r="B103" s="370"/>
      <c r="C103" s="370"/>
      <c r="D103" s="370"/>
      <c r="E103" s="370"/>
      <c r="F103" s="370"/>
      <c r="G103" s="371"/>
      <c r="H103" s="179"/>
      <c r="I103" s="178"/>
      <c r="J103" s="176"/>
      <c r="K103" s="176"/>
      <c r="L103" s="176"/>
      <c r="M103" s="176"/>
      <c r="N103" s="176"/>
      <c r="O103" s="176"/>
      <c r="P103" s="176"/>
      <c r="Q103" s="176"/>
      <c r="R103" s="176"/>
      <c r="S103" s="177"/>
      <c r="T103" s="176"/>
      <c r="U103" s="176"/>
      <c r="V103" s="176"/>
      <c r="W103" s="176"/>
      <c r="X103" s="175"/>
    </row>
    <row r="104" spans="1:25" s="143" customFormat="1" ht="14.1" customHeight="1">
      <c r="A104" s="174"/>
      <c r="B104" s="365"/>
      <c r="C104" s="365"/>
      <c r="D104" s="365"/>
      <c r="E104" s="365"/>
      <c r="F104" s="365"/>
      <c r="G104" s="173"/>
      <c r="H104" s="172" t="s">
        <v>34</v>
      </c>
      <c r="I104" s="171" t="s">
        <v>34</v>
      </c>
      <c r="J104" s="170" t="s">
        <v>34</v>
      </c>
      <c r="K104" s="170" t="s">
        <v>34</v>
      </c>
      <c r="L104" s="170" t="s">
        <v>34</v>
      </c>
      <c r="M104" s="170" t="s">
        <v>34</v>
      </c>
      <c r="N104" s="170" t="s">
        <v>34</v>
      </c>
      <c r="O104" s="170" t="s">
        <v>34</v>
      </c>
      <c r="P104" s="170" t="s">
        <v>34</v>
      </c>
      <c r="Q104" s="170" t="s">
        <v>34</v>
      </c>
      <c r="R104" s="170" t="s">
        <v>34</v>
      </c>
      <c r="S104" s="170" t="s">
        <v>34</v>
      </c>
      <c r="T104" s="170" t="s">
        <v>34</v>
      </c>
      <c r="U104" s="170" t="s">
        <v>34</v>
      </c>
      <c r="V104" s="170" t="s">
        <v>34</v>
      </c>
      <c r="W104" s="170" t="s">
        <v>34</v>
      </c>
      <c r="X104" s="169" t="s">
        <v>34</v>
      </c>
      <c r="Y104" s="140"/>
    </row>
    <row r="105" spans="1:25" ht="15" customHeight="1">
      <c r="A105" s="166"/>
      <c r="B105" s="146" t="s">
        <v>151</v>
      </c>
      <c r="C105" s="165"/>
      <c r="D105" s="194" t="s">
        <v>111</v>
      </c>
      <c r="E105" s="198"/>
      <c r="F105" s="146" t="s">
        <v>39</v>
      </c>
      <c r="G105" s="162"/>
      <c r="H105" s="161">
        <f t="shared" ref="H105:H134" si="5">SUM(I105:X105)</f>
        <v>15</v>
      </c>
      <c r="I105" s="192">
        <v>0</v>
      </c>
      <c r="J105" s="191">
        <v>0</v>
      </c>
      <c r="K105" s="191">
        <v>0</v>
      </c>
      <c r="L105" s="191">
        <v>3</v>
      </c>
      <c r="M105" s="191">
        <v>3</v>
      </c>
      <c r="N105" s="191">
        <v>3</v>
      </c>
      <c r="O105" s="191">
        <v>0</v>
      </c>
      <c r="P105" s="191">
        <v>0</v>
      </c>
      <c r="Q105" s="191">
        <v>0</v>
      </c>
      <c r="R105" s="191">
        <v>0</v>
      </c>
      <c r="S105" s="191">
        <v>2</v>
      </c>
      <c r="T105" s="191">
        <v>0</v>
      </c>
      <c r="U105" s="191">
        <v>0</v>
      </c>
      <c r="V105" s="191">
        <v>0</v>
      </c>
      <c r="W105" s="191">
        <v>0</v>
      </c>
      <c r="X105" s="190">
        <v>4</v>
      </c>
    </row>
    <row r="106" spans="1:25" ht="15" customHeight="1">
      <c r="A106" s="166"/>
      <c r="B106" s="363" t="s">
        <v>145</v>
      </c>
      <c r="C106" s="363"/>
      <c r="D106" s="363"/>
      <c r="E106" s="167"/>
      <c r="F106" s="146" t="s">
        <v>87</v>
      </c>
      <c r="G106" s="162"/>
      <c r="H106" s="161">
        <f t="shared" si="5"/>
        <v>0</v>
      </c>
      <c r="I106" s="189">
        <v>0</v>
      </c>
      <c r="J106" s="159">
        <v>0</v>
      </c>
      <c r="K106" s="159">
        <v>0</v>
      </c>
      <c r="L106" s="159">
        <v>0</v>
      </c>
      <c r="M106" s="159">
        <v>0</v>
      </c>
      <c r="N106" s="159">
        <v>0</v>
      </c>
      <c r="O106" s="159">
        <v>0</v>
      </c>
      <c r="P106" s="159">
        <v>0</v>
      </c>
      <c r="Q106" s="159">
        <v>0</v>
      </c>
      <c r="R106" s="159">
        <v>0</v>
      </c>
      <c r="S106" s="159">
        <v>0</v>
      </c>
      <c r="T106" s="159">
        <v>0</v>
      </c>
      <c r="U106" s="159">
        <v>0</v>
      </c>
      <c r="V106" s="159">
        <v>0</v>
      </c>
      <c r="W106" s="159">
        <v>0</v>
      </c>
      <c r="X106" s="158">
        <v>0</v>
      </c>
    </row>
    <row r="107" spans="1:25" ht="15" customHeight="1">
      <c r="A107" s="166"/>
      <c r="B107" s="146" t="s">
        <v>150</v>
      </c>
      <c r="C107" s="195"/>
      <c r="D107" s="193" t="s">
        <v>148</v>
      </c>
      <c r="E107" s="198"/>
      <c r="F107" s="146" t="s">
        <v>39</v>
      </c>
      <c r="G107" s="162"/>
      <c r="H107" s="161">
        <f t="shared" si="5"/>
        <v>117</v>
      </c>
      <c r="I107" s="192">
        <v>1</v>
      </c>
      <c r="J107" s="191">
        <v>0</v>
      </c>
      <c r="K107" s="191">
        <v>0</v>
      </c>
      <c r="L107" s="191">
        <v>13</v>
      </c>
      <c r="M107" s="191">
        <v>46</v>
      </c>
      <c r="N107" s="191">
        <v>25</v>
      </c>
      <c r="O107" s="191">
        <v>0</v>
      </c>
      <c r="P107" s="191">
        <v>2</v>
      </c>
      <c r="Q107" s="191">
        <v>21</v>
      </c>
      <c r="R107" s="191">
        <v>0</v>
      </c>
      <c r="S107" s="191">
        <v>2</v>
      </c>
      <c r="T107" s="191">
        <v>0</v>
      </c>
      <c r="U107" s="191">
        <v>2</v>
      </c>
      <c r="V107" s="191">
        <v>0</v>
      </c>
      <c r="W107" s="191">
        <v>0</v>
      </c>
      <c r="X107" s="190">
        <v>5</v>
      </c>
    </row>
    <row r="108" spans="1:25" ht="15" customHeight="1">
      <c r="A108" s="166"/>
      <c r="B108" s="363" t="s">
        <v>148</v>
      </c>
      <c r="C108" s="363"/>
      <c r="D108" s="363"/>
      <c r="E108" s="167"/>
      <c r="F108" s="146" t="s">
        <v>87</v>
      </c>
      <c r="G108" s="162"/>
      <c r="H108" s="161">
        <f t="shared" si="5"/>
        <v>0</v>
      </c>
      <c r="I108" s="189">
        <v>0</v>
      </c>
      <c r="J108" s="159">
        <v>0</v>
      </c>
      <c r="K108" s="159">
        <v>0</v>
      </c>
      <c r="L108" s="159">
        <v>0</v>
      </c>
      <c r="M108" s="159">
        <v>0</v>
      </c>
      <c r="N108" s="159">
        <v>0</v>
      </c>
      <c r="O108" s="159">
        <v>0</v>
      </c>
      <c r="P108" s="159">
        <v>0</v>
      </c>
      <c r="Q108" s="159">
        <v>0</v>
      </c>
      <c r="R108" s="159">
        <v>0</v>
      </c>
      <c r="S108" s="159">
        <v>0</v>
      </c>
      <c r="T108" s="159">
        <v>0</v>
      </c>
      <c r="U108" s="159">
        <v>0</v>
      </c>
      <c r="V108" s="159">
        <v>0</v>
      </c>
      <c r="W108" s="159">
        <v>0</v>
      </c>
      <c r="X108" s="158">
        <v>0</v>
      </c>
    </row>
    <row r="109" spans="1:25" ht="15" customHeight="1">
      <c r="A109" s="166"/>
      <c r="B109" s="146" t="s">
        <v>149</v>
      </c>
      <c r="C109" s="195"/>
      <c r="D109" s="193" t="s">
        <v>148</v>
      </c>
      <c r="E109" s="198"/>
      <c r="F109" s="146" t="s">
        <v>39</v>
      </c>
      <c r="G109" s="162"/>
      <c r="H109" s="161">
        <f t="shared" si="5"/>
        <v>75</v>
      </c>
      <c r="I109" s="192">
        <v>4</v>
      </c>
      <c r="J109" s="191">
        <v>1</v>
      </c>
      <c r="K109" s="191">
        <v>0</v>
      </c>
      <c r="L109" s="191">
        <v>9</v>
      </c>
      <c r="M109" s="191">
        <v>12</v>
      </c>
      <c r="N109" s="191">
        <v>12</v>
      </c>
      <c r="O109" s="191">
        <v>0</v>
      </c>
      <c r="P109" s="191">
        <v>0</v>
      </c>
      <c r="Q109" s="191">
        <v>8</v>
      </c>
      <c r="R109" s="191">
        <v>0</v>
      </c>
      <c r="S109" s="191">
        <v>0</v>
      </c>
      <c r="T109" s="191">
        <v>0</v>
      </c>
      <c r="U109" s="191">
        <v>2</v>
      </c>
      <c r="V109" s="191">
        <v>0</v>
      </c>
      <c r="W109" s="191">
        <v>0</v>
      </c>
      <c r="X109" s="190">
        <v>27</v>
      </c>
    </row>
    <row r="110" spans="1:25" ht="15" customHeight="1">
      <c r="A110" s="166"/>
      <c r="B110" s="363" t="s">
        <v>148</v>
      </c>
      <c r="C110" s="363"/>
      <c r="D110" s="363"/>
      <c r="E110" s="167"/>
      <c r="F110" s="146" t="s">
        <v>87</v>
      </c>
      <c r="G110" s="162"/>
      <c r="H110" s="161">
        <f t="shared" si="5"/>
        <v>0</v>
      </c>
      <c r="I110" s="189">
        <v>0</v>
      </c>
      <c r="J110" s="159">
        <v>0</v>
      </c>
      <c r="K110" s="159">
        <v>0</v>
      </c>
      <c r="L110" s="159">
        <v>0</v>
      </c>
      <c r="M110" s="159">
        <v>0</v>
      </c>
      <c r="N110" s="159">
        <v>0</v>
      </c>
      <c r="O110" s="159">
        <v>0</v>
      </c>
      <c r="P110" s="159">
        <v>0</v>
      </c>
      <c r="Q110" s="159">
        <v>0</v>
      </c>
      <c r="R110" s="159">
        <v>0</v>
      </c>
      <c r="S110" s="159">
        <v>0</v>
      </c>
      <c r="T110" s="159">
        <v>0</v>
      </c>
      <c r="U110" s="159">
        <v>0</v>
      </c>
      <c r="V110" s="159">
        <v>0</v>
      </c>
      <c r="W110" s="159">
        <v>0</v>
      </c>
      <c r="X110" s="158">
        <v>0</v>
      </c>
    </row>
    <row r="111" spans="1:25" ht="15" customHeight="1">
      <c r="A111" s="166"/>
      <c r="B111" s="146" t="s">
        <v>147</v>
      </c>
      <c r="C111" s="195"/>
      <c r="D111" s="193" t="s">
        <v>145</v>
      </c>
      <c r="E111" s="194"/>
      <c r="F111" s="146" t="s">
        <v>39</v>
      </c>
      <c r="G111" s="162"/>
      <c r="H111" s="161">
        <f t="shared" si="5"/>
        <v>138</v>
      </c>
      <c r="I111" s="192">
        <v>1</v>
      </c>
      <c r="J111" s="191">
        <v>0</v>
      </c>
      <c r="K111" s="191">
        <v>0</v>
      </c>
      <c r="L111" s="191">
        <v>9</v>
      </c>
      <c r="M111" s="191">
        <v>74</v>
      </c>
      <c r="N111" s="191">
        <v>24</v>
      </c>
      <c r="O111" s="191">
        <v>2</v>
      </c>
      <c r="P111" s="191">
        <v>5</v>
      </c>
      <c r="Q111" s="191">
        <v>12</v>
      </c>
      <c r="R111" s="191">
        <v>0</v>
      </c>
      <c r="S111" s="191">
        <v>0</v>
      </c>
      <c r="T111" s="191">
        <v>0</v>
      </c>
      <c r="U111" s="191">
        <v>4</v>
      </c>
      <c r="V111" s="191">
        <v>0</v>
      </c>
      <c r="W111" s="191">
        <v>0</v>
      </c>
      <c r="X111" s="190">
        <v>7</v>
      </c>
    </row>
    <row r="112" spans="1:25" ht="15" customHeight="1">
      <c r="A112" s="166"/>
      <c r="B112" s="363" t="s">
        <v>145</v>
      </c>
      <c r="C112" s="363"/>
      <c r="D112" s="363"/>
      <c r="E112" s="167"/>
      <c r="F112" s="146" t="s">
        <v>87</v>
      </c>
      <c r="G112" s="162"/>
      <c r="H112" s="161">
        <f t="shared" si="5"/>
        <v>24</v>
      </c>
      <c r="I112" s="189">
        <v>0</v>
      </c>
      <c r="J112" s="159">
        <v>0</v>
      </c>
      <c r="K112" s="159">
        <v>0</v>
      </c>
      <c r="L112" s="159">
        <v>4</v>
      </c>
      <c r="M112" s="159">
        <v>0</v>
      </c>
      <c r="N112" s="159">
        <v>0</v>
      </c>
      <c r="O112" s="159">
        <v>0</v>
      </c>
      <c r="P112" s="159">
        <v>0</v>
      </c>
      <c r="Q112" s="159">
        <v>0</v>
      </c>
      <c r="R112" s="159">
        <v>0</v>
      </c>
      <c r="S112" s="159">
        <v>20</v>
      </c>
      <c r="T112" s="159">
        <v>0</v>
      </c>
      <c r="U112" s="159">
        <v>0</v>
      </c>
      <c r="V112" s="159">
        <v>0</v>
      </c>
      <c r="W112" s="159">
        <v>0</v>
      </c>
      <c r="X112" s="158">
        <v>0</v>
      </c>
    </row>
    <row r="113" spans="1:25" ht="15" customHeight="1">
      <c r="A113" s="166"/>
      <c r="B113" s="146" t="s">
        <v>146</v>
      </c>
      <c r="C113" s="200"/>
      <c r="D113" s="193" t="s">
        <v>145</v>
      </c>
      <c r="E113" s="198"/>
      <c r="F113" s="146" t="s">
        <v>39</v>
      </c>
      <c r="G113" s="162"/>
      <c r="H113" s="161">
        <f t="shared" si="5"/>
        <v>63</v>
      </c>
      <c r="I113" s="192">
        <v>0</v>
      </c>
      <c r="J113" s="191">
        <v>0</v>
      </c>
      <c r="K113" s="191">
        <v>0</v>
      </c>
      <c r="L113" s="191">
        <v>20</v>
      </c>
      <c r="M113" s="191">
        <v>5</v>
      </c>
      <c r="N113" s="191">
        <v>34</v>
      </c>
      <c r="O113" s="191">
        <v>0</v>
      </c>
      <c r="P113" s="191">
        <v>1</v>
      </c>
      <c r="Q113" s="191">
        <v>0</v>
      </c>
      <c r="R113" s="191">
        <v>0</v>
      </c>
      <c r="S113" s="191">
        <v>0</v>
      </c>
      <c r="T113" s="191">
        <v>0</v>
      </c>
      <c r="U113" s="191">
        <v>1</v>
      </c>
      <c r="V113" s="191">
        <v>0</v>
      </c>
      <c r="W113" s="191">
        <v>0</v>
      </c>
      <c r="X113" s="190">
        <v>2</v>
      </c>
    </row>
    <row r="114" spans="1:25" ht="15" customHeight="1">
      <c r="A114" s="166"/>
      <c r="B114" s="363" t="s">
        <v>145</v>
      </c>
      <c r="C114" s="363"/>
      <c r="D114" s="363"/>
      <c r="E114" s="167"/>
      <c r="F114" s="146" t="s">
        <v>87</v>
      </c>
      <c r="G114" s="162"/>
      <c r="H114" s="161">
        <f t="shared" si="5"/>
        <v>0</v>
      </c>
      <c r="I114" s="189">
        <v>0</v>
      </c>
      <c r="J114" s="159">
        <v>0</v>
      </c>
      <c r="K114" s="159">
        <v>0</v>
      </c>
      <c r="L114" s="159">
        <v>0</v>
      </c>
      <c r="M114" s="159">
        <v>0</v>
      </c>
      <c r="N114" s="159">
        <v>0</v>
      </c>
      <c r="O114" s="159">
        <v>0</v>
      </c>
      <c r="P114" s="159">
        <v>0</v>
      </c>
      <c r="Q114" s="159">
        <v>0</v>
      </c>
      <c r="R114" s="159">
        <v>0</v>
      </c>
      <c r="S114" s="159">
        <v>0</v>
      </c>
      <c r="T114" s="159">
        <v>0</v>
      </c>
      <c r="U114" s="159">
        <v>0</v>
      </c>
      <c r="V114" s="159">
        <v>0</v>
      </c>
      <c r="W114" s="159">
        <v>0</v>
      </c>
      <c r="X114" s="158">
        <v>0</v>
      </c>
      <c r="Y114" s="149"/>
    </row>
    <row r="115" spans="1:25" s="149" customFormat="1" ht="15" customHeight="1">
      <c r="A115" s="166"/>
      <c r="B115" s="146" t="s">
        <v>144</v>
      </c>
      <c r="C115" s="195"/>
      <c r="D115" s="193" t="s">
        <v>142</v>
      </c>
      <c r="E115" s="198"/>
      <c r="F115" s="146" t="s">
        <v>39</v>
      </c>
      <c r="G115" s="162"/>
      <c r="H115" s="161">
        <f t="shared" si="5"/>
        <v>24</v>
      </c>
      <c r="I115" s="192">
        <v>0</v>
      </c>
      <c r="J115" s="191">
        <v>0</v>
      </c>
      <c r="K115" s="191">
        <v>0</v>
      </c>
      <c r="L115" s="191">
        <v>1</v>
      </c>
      <c r="M115" s="191">
        <v>5</v>
      </c>
      <c r="N115" s="191">
        <v>6</v>
      </c>
      <c r="O115" s="191">
        <v>0</v>
      </c>
      <c r="P115" s="191">
        <v>0</v>
      </c>
      <c r="Q115" s="191">
        <v>0</v>
      </c>
      <c r="R115" s="191">
        <v>0</v>
      </c>
      <c r="S115" s="191">
        <v>0</v>
      </c>
      <c r="T115" s="191">
        <v>0</v>
      </c>
      <c r="U115" s="191">
        <v>0</v>
      </c>
      <c r="V115" s="191">
        <v>0</v>
      </c>
      <c r="W115" s="191">
        <v>0</v>
      </c>
      <c r="X115" s="190">
        <v>12</v>
      </c>
    </row>
    <row r="116" spans="1:25" s="149" customFormat="1" ht="15" customHeight="1">
      <c r="A116" s="166"/>
      <c r="B116" s="363" t="s">
        <v>142</v>
      </c>
      <c r="C116" s="363"/>
      <c r="D116" s="363"/>
      <c r="E116" s="167"/>
      <c r="F116" s="146" t="s">
        <v>87</v>
      </c>
      <c r="G116" s="162"/>
      <c r="H116" s="161">
        <f t="shared" si="5"/>
        <v>0</v>
      </c>
      <c r="I116" s="189">
        <v>0</v>
      </c>
      <c r="J116" s="159">
        <v>0</v>
      </c>
      <c r="K116" s="159">
        <v>0</v>
      </c>
      <c r="L116" s="159">
        <v>0</v>
      </c>
      <c r="M116" s="159">
        <v>0</v>
      </c>
      <c r="N116" s="159">
        <v>0</v>
      </c>
      <c r="O116" s="159">
        <v>0</v>
      </c>
      <c r="P116" s="159">
        <v>0</v>
      </c>
      <c r="Q116" s="159">
        <v>0</v>
      </c>
      <c r="R116" s="159">
        <v>0</v>
      </c>
      <c r="S116" s="159">
        <v>0</v>
      </c>
      <c r="T116" s="159">
        <v>0</v>
      </c>
      <c r="U116" s="159">
        <v>0</v>
      </c>
      <c r="V116" s="159">
        <v>0</v>
      </c>
      <c r="W116" s="159">
        <v>0</v>
      </c>
      <c r="X116" s="158">
        <v>0</v>
      </c>
      <c r="Y116" s="140"/>
    </row>
    <row r="117" spans="1:25" ht="15" customHeight="1">
      <c r="A117" s="166"/>
      <c r="B117" s="146" t="s">
        <v>143</v>
      </c>
      <c r="C117" s="195"/>
      <c r="D117" s="193" t="s">
        <v>142</v>
      </c>
      <c r="E117" s="198"/>
      <c r="F117" s="146" t="s">
        <v>39</v>
      </c>
      <c r="G117" s="162"/>
      <c r="H117" s="161">
        <f t="shared" si="5"/>
        <v>4</v>
      </c>
      <c r="I117" s="192">
        <v>0</v>
      </c>
      <c r="J117" s="191">
        <v>0</v>
      </c>
      <c r="K117" s="191">
        <v>0</v>
      </c>
      <c r="L117" s="191">
        <v>1</v>
      </c>
      <c r="M117" s="191">
        <v>0</v>
      </c>
      <c r="N117" s="191">
        <v>0</v>
      </c>
      <c r="O117" s="191">
        <v>0</v>
      </c>
      <c r="P117" s="191">
        <v>0</v>
      </c>
      <c r="Q117" s="191">
        <v>0</v>
      </c>
      <c r="R117" s="191">
        <v>0</v>
      </c>
      <c r="S117" s="191">
        <v>2</v>
      </c>
      <c r="T117" s="191">
        <v>0</v>
      </c>
      <c r="U117" s="191">
        <v>0</v>
      </c>
      <c r="V117" s="191">
        <v>0</v>
      </c>
      <c r="W117" s="191">
        <v>0</v>
      </c>
      <c r="X117" s="190">
        <v>1</v>
      </c>
    </row>
    <row r="118" spans="1:25" ht="15" customHeight="1">
      <c r="A118" s="166"/>
      <c r="B118" s="363" t="s">
        <v>142</v>
      </c>
      <c r="C118" s="363"/>
      <c r="D118" s="363"/>
      <c r="E118" s="167"/>
      <c r="F118" s="146" t="s">
        <v>87</v>
      </c>
      <c r="G118" s="162"/>
      <c r="H118" s="161">
        <f t="shared" si="5"/>
        <v>0</v>
      </c>
      <c r="I118" s="189">
        <v>0</v>
      </c>
      <c r="J118" s="159">
        <v>0</v>
      </c>
      <c r="K118" s="159">
        <v>0</v>
      </c>
      <c r="L118" s="159">
        <v>0</v>
      </c>
      <c r="M118" s="159">
        <v>0</v>
      </c>
      <c r="N118" s="159">
        <v>0</v>
      </c>
      <c r="O118" s="159">
        <v>0</v>
      </c>
      <c r="P118" s="159">
        <v>0</v>
      </c>
      <c r="Q118" s="159">
        <v>0</v>
      </c>
      <c r="R118" s="159">
        <v>0</v>
      </c>
      <c r="S118" s="159">
        <v>0</v>
      </c>
      <c r="T118" s="159">
        <v>0</v>
      </c>
      <c r="U118" s="159">
        <v>0</v>
      </c>
      <c r="V118" s="159">
        <v>0</v>
      </c>
      <c r="W118" s="159">
        <v>0</v>
      </c>
      <c r="X118" s="158">
        <v>0</v>
      </c>
    </row>
    <row r="119" spans="1:25" ht="15" customHeight="1">
      <c r="A119" s="204"/>
      <c r="B119" s="197" t="s">
        <v>141</v>
      </c>
      <c r="C119" s="195"/>
      <c r="D119" s="193" t="s">
        <v>92</v>
      </c>
      <c r="E119" s="198"/>
      <c r="F119" s="146" t="s">
        <v>39</v>
      </c>
      <c r="G119" s="162"/>
      <c r="H119" s="161">
        <f t="shared" si="5"/>
        <v>46</v>
      </c>
      <c r="I119" s="192">
        <v>1</v>
      </c>
      <c r="J119" s="191">
        <v>0</v>
      </c>
      <c r="K119" s="191">
        <v>0</v>
      </c>
      <c r="L119" s="191">
        <v>0</v>
      </c>
      <c r="M119" s="191">
        <v>10</v>
      </c>
      <c r="N119" s="191">
        <v>10</v>
      </c>
      <c r="O119" s="191">
        <v>1</v>
      </c>
      <c r="P119" s="191">
        <v>0</v>
      </c>
      <c r="Q119" s="191">
        <v>0</v>
      </c>
      <c r="R119" s="191">
        <v>0</v>
      </c>
      <c r="S119" s="191">
        <v>1</v>
      </c>
      <c r="T119" s="191">
        <v>0</v>
      </c>
      <c r="U119" s="191">
        <v>0</v>
      </c>
      <c r="V119" s="191">
        <v>0</v>
      </c>
      <c r="W119" s="191">
        <v>0</v>
      </c>
      <c r="X119" s="190">
        <v>23</v>
      </c>
    </row>
    <row r="120" spans="1:25" ht="15" customHeight="1">
      <c r="A120" s="204"/>
      <c r="B120" s="363" t="s">
        <v>92</v>
      </c>
      <c r="C120" s="363"/>
      <c r="D120" s="363"/>
      <c r="E120" s="167"/>
      <c r="F120" s="146" t="s">
        <v>87</v>
      </c>
      <c r="G120" s="162"/>
      <c r="H120" s="161">
        <f t="shared" si="5"/>
        <v>0</v>
      </c>
      <c r="I120" s="189">
        <v>0</v>
      </c>
      <c r="J120" s="159">
        <v>0</v>
      </c>
      <c r="K120" s="159">
        <v>0</v>
      </c>
      <c r="L120" s="159">
        <v>0</v>
      </c>
      <c r="M120" s="159">
        <v>0</v>
      </c>
      <c r="N120" s="159">
        <v>0</v>
      </c>
      <c r="O120" s="159">
        <v>0</v>
      </c>
      <c r="P120" s="159">
        <v>0</v>
      </c>
      <c r="Q120" s="159">
        <v>0</v>
      </c>
      <c r="R120" s="159">
        <v>0</v>
      </c>
      <c r="S120" s="159">
        <v>0</v>
      </c>
      <c r="T120" s="159">
        <v>0</v>
      </c>
      <c r="U120" s="159">
        <v>0</v>
      </c>
      <c r="V120" s="159">
        <v>0</v>
      </c>
      <c r="W120" s="159">
        <v>0</v>
      </c>
      <c r="X120" s="158">
        <v>0</v>
      </c>
    </row>
    <row r="121" spans="1:25" ht="15" customHeight="1">
      <c r="A121" s="166"/>
      <c r="B121" s="146" t="s">
        <v>140</v>
      </c>
      <c r="C121" s="195"/>
      <c r="D121" s="193" t="s">
        <v>92</v>
      </c>
      <c r="E121" s="198"/>
      <c r="F121" s="146" t="s">
        <v>39</v>
      </c>
      <c r="G121" s="162"/>
      <c r="H121" s="161">
        <f t="shared" si="5"/>
        <v>30</v>
      </c>
      <c r="I121" s="192">
        <v>2</v>
      </c>
      <c r="J121" s="191">
        <v>0</v>
      </c>
      <c r="K121" s="191">
        <v>0</v>
      </c>
      <c r="L121" s="191">
        <v>3</v>
      </c>
      <c r="M121" s="191">
        <v>1</v>
      </c>
      <c r="N121" s="191">
        <v>4</v>
      </c>
      <c r="O121" s="191">
        <v>1</v>
      </c>
      <c r="P121" s="191">
        <v>0</v>
      </c>
      <c r="Q121" s="191">
        <v>0</v>
      </c>
      <c r="R121" s="191">
        <v>0</v>
      </c>
      <c r="S121" s="191">
        <v>4</v>
      </c>
      <c r="T121" s="191">
        <v>0</v>
      </c>
      <c r="U121" s="191">
        <v>0</v>
      </c>
      <c r="V121" s="191">
        <v>0</v>
      </c>
      <c r="W121" s="191">
        <v>0</v>
      </c>
      <c r="X121" s="190">
        <v>15</v>
      </c>
    </row>
    <row r="122" spans="1:25" ht="15" customHeight="1">
      <c r="A122" s="166"/>
      <c r="B122" s="363" t="s">
        <v>92</v>
      </c>
      <c r="C122" s="363"/>
      <c r="D122" s="363"/>
      <c r="E122" s="167"/>
      <c r="F122" s="146" t="s">
        <v>87</v>
      </c>
      <c r="G122" s="162"/>
      <c r="H122" s="161">
        <f t="shared" si="5"/>
        <v>0</v>
      </c>
      <c r="I122" s="189">
        <v>0</v>
      </c>
      <c r="J122" s="159">
        <v>0</v>
      </c>
      <c r="K122" s="159">
        <v>0</v>
      </c>
      <c r="L122" s="159">
        <v>0</v>
      </c>
      <c r="M122" s="159">
        <v>0</v>
      </c>
      <c r="N122" s="159">
        <v>0</v>
      </c>
      <c r="O122" s="159">
        <v>0</v>
      </c>
      <c r="P122" s="159">
        <v>0</v>
      </c>
      <c r="Q122" s="159">
        <v>0</v>
      </c>
      <c r="R122" s="159">
        <v>0</v>
      </c>
      <c r="S122" s="159">
        <v>0</v>
      </c>
      <c r="T122" s="159">
        <v>0</v>
      </c>
      <c r="U122" s="159">
        <v>0</v>
      </c>
      <c r="V122" s="159">
        <v>0</v>
      </c>
      <c r="W122" s="159">
        <v>0</v>
      </c>
      <c r="X122" s="158">
        <v>0</v>
      </c>
    </row>
    <row r="123" spans="1:25" ht="15" customHeight="1">
      <c r="A123" s="166"/>
      <c r="B123" s="146" t="s">
        <v>139</v>
      </c>
      <c r="C123" s="195"/>
      <c r="D123" s="193" t="s">
        <v>92</v>
      </c>
      <c r="E123" s="198"/>
      <c r="F123" s="146" t="s">
        <v>39</v>
      </c>
      <c r="G123" s="162"/>
      <c r="H123" s="161">
        <f t="shared" si="5"/>
        <v>7</v>
      </c>
      <c r="I123" s="192">
        <v>0</v>
      </c>
      <c r="J123" s="191">
        <v>1</v>
      </c>
      <c r="K123" s="191">
        <v>0</v>
      </c>
      <c r="L123" s="191">
        <v>2</v>
      </c>
      <c r="M123" s="191">
        <v>0</v>
      </c>
      <c r="N123" s="191">
        <v>2</v>
      </c>
      <c r="O123" s="191">
        <v>0</v>
      </c>
      <c r="P123" s="191">
        <v>0</v>
      </c>
      <c r="Q123" s="191">
        <v>0</v>
      </c>
      <c r="R123" s="191">
        <v>0</v>
      </c>
      <c r="S123" s="191">
        <v>0</v>
      </c>
      <c r="T123" s="191">
        <v>0</v>
      </c>
      <c r="U123" s="191">
        <v>0</v>
      </c>
      <c r="V123" s="191">
        <v>0</v>
      </c>
      <c r="W123" s="191">
        <v>0</v>
      </c>
      <c r="X123" s="190">
        <v>2</v>
      </c>
    </row>
    <row r="124" spans="1:25" ht="15" customHeight="1">
      <c r="A124" s="166"/>
      <c r="B124" s="363" t="s">
        <v>92</v>
      </c>
      <c r="C124" s="363"/>
      <c r="D124" s="363"/>
      <c r="E124" s="167"/>
      <c r="F124" s="146" t="s">
        <v>87</v>
      </c>
      <c r="G124" s="162"/>
      <c r="H124" s="161">
        <f t="shared" si="5"/>
        <v>0</v>
      </c>
      <c r="I124" s="189">
        <v>0</v>
      </c>
      <c r="J124" s="159">
        <v>0</v>
      </c>
      <c r="K124" s="159">
        <v>0</v>
      </c>
      <c r="L124" s="159">
        <v>0</v>
      </c>
      <c r="M124" s="159">
        <v>0</v>
      </c>
      <c r="N124" s="159">
        <v>0</v>
      </c>
      <c r="O124" s="159">
        <v>0</v>
      </c>
      <c r="P124" s="159">
        <v>0</v>
      </c>
      <c r="Q124" s="159">
        <v>0</v>
      </c>
      <c r="R124" s="159">
        <v>0</v>
      </c>
      <c r="S124" s="159">
        <v>0</v>
      </c>
      <c r="T124" s="159">
        <v>0</v>
      </c>
      <c r="U124" s="159">
        <v>0</v>
      </c>
      <c r="V124" s="159">
        <v>0</v>
      </c>
      <c r="W124" s="159">
        <v>0</v>
      </c>
      <c r="X124" s="158">
        <v>0</v>
      </c>
    </row>
    <row r="125" spans="1:25" ht="15" customHeight="1">
      <c r="A125" s="166"/>
      <c r="B125" s="146" t="s">
        <v>138</v>
      </c>
      <c r="C125" s="195"/>
      <c r="D125" s="193" t="s">
        <v>92</v>
      </c>
      <c r="E125" s="198"/>
      <c r="F125" s="146" t="s">
        <v>39</v>
      </c>
      <c r="G125" s="162"/>
      <c r="H125" s="161">
        <f t="shared" si="5"/>
        <v>80</v>
      </c>
      <c r="I125" s="192">
        <v>0</v>
      </c>
      <c r="J125" s="191">
        <v>0</v>
      </c>
      <c r="K125" s="191">
        <v>0</v>
      </c>
      <c r="L125" s="191">
        <v>2</v>
      </c>
      <c r="M125" s="191">
        <v>8</v>
      </c>
      <c r="N125" s="191">
        <v>28</v>
      </c>
      <c r="O125" s="191">
        <v>1</v>
      </c>
      <c r="P125" s="191">
        <v>0</v>
      </c>
      <c r="Q125" s="191">
        <v>10</v>
      </c>
      <c r="R125" s="191">
        <v>0</v>
      </c>
      <c r="S125" s="191">
        <v>3</v>
      </c>
      <c r="T125" s="191">
        <v>0</v>
      </c>
      <c r="U125" s="191">
        <v>0</v>
      </c>
      <c r="V125" s="191">
        <v>0</v>
      </c>
      <c r="W125" s="191">
        <v>0</v>
      </c>
      <c r="X125" s="190">
        <v>28</v>
      </c>
    </row>
    <row r="126" spans="1:25" ht="15" customHeight="1">
      <c r="A126" s="166"/>
      <c r="B126" s="363" t="s">
        <v>92</v>
      </c>
      <c r="C126" s="363"/>
      <c r="D126" s="363"/>
      <c r="E126" s="167"/>
      <c r="F126" s="146" t="s">
        <v>87</v>
      </c>
      <c r="G126" s="162"/>
      <c r="H126" s="161">
        <f t="shared" si="5"/>
        <v>0</v>
      </c>
      <c r="I126" s="189">
        <v>0</v>
      </c>
      <c r="J126" s="159">
        <v>0</v>
      </c>
      <c r="K126" s="159">
        <v>0</v>
      </c>
      <c r="L126" s="159">
        <v>0</v>
      </c>
      <c r="M126" s="159">
        <v>0</v>
      </c>
      <c r="N126" s="159">
        <v>0</v>
      </c>
      <c r="O126" s="159">
        <v>0</v>
      </c>
      <c r="P126" s="159">
        <v>0</v>
      </c>
      <c r="Q126" s="159">
        <v>0</v>
      </c>
      <c r="R126" s="159">
        <v>0</v>
      </c>
      <c r="S126" s="159">
        <v>0</v>
      </c>
      <c r="T126" s="159">
        <v>0</v>
      </c>
      <c r="U126" s="159">
        <v>0</v>
      </c>
      <c r="V126" s="159">
        <v>0</v>
      </c>
      <c r="W126" s="159">
        <v>0</v>
      </c>
      <c r="X126" s="158">
        <v>0</v>
      </c>
    </row>
    <row r="127" spans="1:25" ht="15" customHeight="1">
      <c r="A127" s="166"/>
      <c r="B127" s="146" t="s">
        <v>137</v>
      </c>
      <c r="C127" s="195"/>
      <c r="D127" s="193" t="s">
        <v>92</v>
      </c>
      <c r="E127" s="198"/>
      <c r="F127" s="146" t="s">
        <v>39</v>
      </c>
      <c r="G127" s="162"/>
      <c r="H127" s="161">
        <f t="shared" si="5"/>
        <v>1</v>
      </c>
      <c r="I127" s="192">
        <v>0</v>
      </c>
      <c r="J127" s="191">
        <v>0</v>
      </c>
      <c r="K127" s="191">
        <v>0</v>
      </c>
      <c r="L127" s="191">
        <v>0</v>
      </c>
      <c r="M127" s="191">
        <v>0</v>
      </c>
      <c r="N127" s="191">
        <v>0</v>
      </c>
      <c r="O127" s="191">
        <v>0</v>
      </c>
      <c r="P127" s="191">
        <v>0</v>
      </c>
      <c r="Q127" s="191">
        <v>0</v>
      </c>
      <c r="R127" s="191">
        <v>0</v>
      </c>
      <c r="S127" s="191">
        <v>1</v>
      </c>
      <c r="T127" s="191">
        <v>0</v>
      </c>
      <c r="U127" s="191">
        <v>0</v>
      </c>
      <c r="V127" s="191">
        <v>0</v>
      </c>
      <c r="W127" s="191">
        <v>0</v>
      </c>
      <c r="X127" s="190">
        <v>0</v>
      </c>
    </row>
    <row r="128" spans="1:25" ht="15" customHeight="1">
      <c r="A128" s="166"/>
      <c r="B128" s="363" t="s">
        <v>92</v>
      </c>
      <c r="C128" s="363"/>
      <c r="D128" s="363"/>
      <c r="E128" s="167"/>
      <c r="F128" s="146" t="s">
        <v>87</v>
      </c>
      <c r="G128" s="162"/>
      <c r="H128" s="161">
        <f t="shared" si="5"/>
        <v>0</v>
      </c>
      <c r="I128" s="160">
        <v>0</v>
      </c>
      <c r="J128" s="159">
        <v>0</v>
      </c>
      <c r="K128" s="159">
        <v>0</v>
      </c>
      <c r="L128" s="159">
        <v>0</v>
      </c>
      <c r="M128" s="159">
        <v>0</v>
      </c>
      <c r="N128" s="159">
        <v>0</v>
      </c>
      <c r="O128" s="159">
        <v>0</v>
      </c>
      <c r="P128" s="159">
        <v>0</v>
      </c>
      <c r="Q128" s="159">
        <v>0</v>
      </c>
      <c r="R128" s="159">
        <v>0</v>
      </c>
      <c r="S128" s="159">
        <v>0</v>
      </c>
      <c r="T128" s="159">
        <v>0</v>
      </c>
      <c r="U128" s="159">
        <v>0</v>
      </c>
      <c r="V128" s="159">
        <v>0</v>
      </c>
      <c r="W128" s="159">
        <v>0</v>
      </c>
      <c r="X128" s="158">
        <v>0</v>
      </c>
    </row>
    <row r="129" spans="1:25" ht="15" customHeight="1">
      <c r="A129" s="166"/>
      <c r="B129" s="146" t="s">
        <v>136</v>
      </c>
      <c r="C129" s="195"/>
      <c r="D129" s="193" t="s">
        <v>92</v>
      </c>
      <c r="E129" s="198"/>
      <c r="F129" s="146" t="s">
        <v>39</v>
      </c>
      <c r="G129" s="162"/>
      <c r="H129" s="161">
        <f t="shared" si="5"/>
        <v>18</v>
      </c>
      <c r="I129" s="192">
        <v>2</v>
      </c>
      <c r="J129" s="191">
        <v>0</v>
      </c>
      <c r="K129" s="191">
        <v>0</v>
      </c>
      <c r="L129" s="191">
        <v>1</v>
      </c>
      <c r="M129" s="191">
        <v>0</v>
      </c>
      <c r="N129" s="191">
        <v>3</v>
      </c>
      <c r="O129" s="191">
        <v>0</v>
      </c>
      <c r="P129" s="191">
        <v>0</v>
      </c>
      <c r="Q129" s="191">
        <v>0</v>
      </c>
      <c r="R129" s="191">
        <v>0</v>
      </c>
      <c r="S129" s="191">
        <v>0</v>
      </c>
      <c r="T129" s="191">
        <v>0</v>
      </c>
      <c r="U129" s="191">
        <v>0</v>
      </c>
      <c r="V129" s="191">
        <v>0</v>
      </c>
      <c r="W129" s="191">
        <v>0</v>
      </c>
      <c r="X129" s="190">
        <v>12</v>
      </c>
    </row>
    <row r="130" spans="1:25" ht="15" customHeight="1">
      <c r="A130" s="166"/>
      <c r="B130" s="363" t="s">
        <v>92</v>
      </c>
      <c r="C130" s="363"/>
      <c r="D130" s="363"/>
      <c r="E130" s="167"/>
      <c r="F130" s="146" t="s">
        <v>87</v>
      </c>
      <c r="G130" s="162"/>
      <c r="H130" s="161">
        <f t="shared" si="5"/>
        <v>0</v>
      </c>
      <c r="I130" s="189">
        <v>0</v>
      </c>
      <c r="J130" s="159">
        <v>0</v>
      </c>
      <c r="K130" s="159">
        <v>0</v>
      </c>
      <c r="L130" s="159">
        <v>0</v>
      </c>
      <c r="M130" s="159">
        <v>0</v>
      </c>
      <c r="N130" s="159">
        <v>0</v>
      </c>
      <c r="O130" s="159">
        <v>0</v>
      </c>
      <c r="P130" s="159">
        <v>0</v>
      </c>
      <c r="Q130" s="159">
        <v>0</v>
      </c>
      <c r="R130" s="159">
        <v>0</v>
      </c>
      <c r="S130" s="159">
        <v>0</v>
      </c>
      <c r="T130" s="159">
        <v>0</v>
      </c>
      <c r="U130" s="159">
        <v>0</v>
      </c>
      <c r="V130" s="159">
        <v>0</v>
      </c>
      <c r="W130" s="159">
        <v>0</v>
      </c>
      <c r="X130" s="158">
        <v>0</v>
      </c>
    </row>
    <row r="131" spans="1:25" ht="15" customHeight="1">
      <c r="A131" s="166"/>
      <c r="B131" s="146" t="s">
        <v>135</v>
      </c>
      <c r="C131" s="195"/>
      <c r="D131" s="193" t="s">
        <v>92</v>
      </c>
      <c r="E131" s="198"/>
      <c r="F131" s="146" t="s">
        <v>39</v>
      </c>
      <c r="G131" s="162"/>
      <c r="H131" s="161">
        <f t="shared" si="5"/>
        <v>32</v>
      </c>
      <c r="I131" s="192">
        <v>1</v>
      </c>
      <c r="J131" s="191">
        <v>0</v>
      </c>
      <c r="K131" s="191">
        <v>0</v>
      </c>
      <c r="L131" s="191">
        <v>1</v>
      </c>
      <c r="M131" s="191">
        <v>1</v>
      </c>
      <c r="N131" s="191">
        <v>10</v>
      </c>
      <c r="O131" s="191">
        <v>2</v>
      </c>
      <c r="P131" s="191">
        <v>0</v>
      </c>
      <c r="Q131" s="191">
        <v>0</v>
      </c>
      <c r="R131" s="191">
        <v>0</v>
      </c>
      <c r="S131" s="191">
        <v>2</v>
      </c>
      <c r="T131" s="191">
        <v>0</v>
      </c>
      <c r="U131" s="191">
        <v>0</v>
      </c>
      <c r="V131" s="191">
        <v>0</v>
      </c>
      <c r="W131" s="191">
        <v>0</v>
      </c>
      <c r="X131" s="190">
        <v>15</v>
      </c>
    </row>
    <row r="132" spans="1:25" ht="15" customHeight="1">
      <c r="A132" s="166"/>
      <c r="B132" s="363" t="s">
        <v>92</v>
      </c>
      <c r="C132" s="363"/>
      <c r="D132" s="363"/>
      <c r="E132" s="167"/>
      <c r="F132" s="146" t="s">
        <v>87</v>
      </c>
      <c r="G132" s="162"/>
      <c r="H132" s="161">
        <f t="shared" si="5"/>
        <v>0</v>
      </c>
      <c r="I132" s="189">
        <v>0</v>
      </c>
      <c r="J132" s="159">
        <v>0</v>
      </c>
      <c r="K132" s="159">
        <v>0</v>
      </c>
      <c r="L132" s="159">
        <v>0</v>
      </c>
      <c r="M132" s="159">
        <v>0</v>
      </c>
      <c r="N132" s="159">
        <v>0</v>
      </c>
      <c r="O132" s="159">
        <v>0</v>
      </c>
      <c r="P132" s="159">
        <v>0</v>
      </c>
      <c r="Q132" s="159">
        <v>0</v>
      </c>
      <c r="R132" s="159">
        <v>0</v>
      </c>
      <c r="S132" s="159">
        <v>0</v>
      </c>
      <c r="T132" s="159">
        <v>0</v>
      </c>
      <c r="U132" s="159">
        <v>0</v>
      </c>
      <c r="V132" s="159">
        <v>0</v>
      </c>
      <c r="W132" s="159">
        <v>0</v>
      </c>
      <c r="X132" s="158">
        <v>0</v>
      </c>
    </row>
    <row r="133" spans="1:25" ht="15" customHeight="1">
      <c r="A133" s="166"/>
      <c r="B133" s="146" t="s">
        <v>134</v>
      </c>
      <c r="C133" s="195"/>
      <c r="D133" s="193" t="s">
        <v>92</v>
      </c>
      <c r="E133" s="198"/>
      <c r="F133" s="146" t="s">
        <v>39</v>
      </c>
      <c r="G133" s="162"/>
      <c r="H133" s="161">
        <f t="shared" si="5"/>
        <v>30</v>
      </c>
      <c r="I133" s="192">
        <v>0</v>
      </c>
      <c r="J133" s="191">
        <v>11</v>
      </c>
      <c r="K133" s="191">
        <v>0</v>
      </c>
      <c r="L133" s="191">
        <v>7</v>
      </c>
      <c r="M133" s="191">
        <v>6</v>
      </c>
      <c r="N133" s="191">
        <v>1</v>
      </c>
      <c r="O133" s="191">
        <v>0</v>
      </c>
      <c r="P133" s="191">
        <v>0</v>
      </c>
      <c r="Q133" s="191">
        <v>0</v>
      </c>
      <c r="R133" s="191">
        <v>0</v>
      </c>
      <c r="S133" s="191">
        <v>2</v>
      </c>
      <c r="T133" s="191">
        <v>0</v>
      </c>
      <c r="U133" s="191">
        <v>0</v>
      </c>
      <c r="V133" s="191">
        <v>0</v>
      </c>
      <c r="W133" s="191">
        <v>0</v>
      </c>
      <c r="X133" s="190">
        <v>3</v>
      </c>
    </row>
    <row r="134" spans="1:25" ht="15" customHeight="1" thickBot="1">
      <c r="A134" s="157"/>
      <c r="B134" s="364" t="s">
        <v>92</v>
      </c>
      <c r="C134" s="364"/>
      <c r="D134" s="364"/>
      <c r="E134" s="156"/>
      <c r="F134" s="155" t="s">
        <v>87</v>
      </c>
      <c r="G134" s="154"/>
      <c r="H134" s="153">
        <f t="shared" si="5"/>
        <v>0</v>
      </c>
      <c r="I134" s="152">
        <v>0</v>
      </c>
      <c r="J134" s="151">
        <v>0</v>
      </c>
      <c r="K134" s="151">
        <v>0</v>
      </c>
      <c r="L134" s="151">
        <v>0</v>
      </c>
      <c r="M134" s="151">
        <v>0</v>
      </c>
      <c r="N134" s="151">
        <v>0</v>
      </c>
      <c r="O134" s="151">
        <v>0</v>
      </c>
      <c r="P134" s="151">
        <v>0</v>
      </c>
      <c r="Q134" s="151">
        <v>0</v>
      </c>
      <c r="R134" s="151">
        <v>0</v>
      </c>
      <c r="S134" s="151">
        <v>0</v>
      </c>
      <c r="T134" s="151">
        <v>0</v>
      </c>
      <c r="U134" s="151">
        <v>0</v>
      </c>
      <c r="V134" s="151">
        <v>0</v>
      </c>
      <c r="W134" s="151">
        <v>0</v>
      </c>
      <c r="X134" s="150">
        <v>0</v>
      </c>
      <c r="Y134" s="143"/>
    </row>
    <row r="135" spans="1:25" s="143" customFormat="1" ht="9.1999999999999993" customHeight="1" thickBot="1">
      <c r="A135" s="188"/>
      <c r="B135" s="187"/>
      <c r="C135" s="187"/>
      <c r="D135" s="187"/>
      <c r="E135" s="187"/>
      <c r="F135" s="187"/>
      <c r="G135" s="187"/>
      <c r="H135" s="186"/>
      <c r="I135" s="185"/>
      <c r="J135" s="185"/>
      <c r="K135" s="185"/>
      <c r="L135" s="185"/>
      <c r="M135" s="185"/>
      <c r="N135" s="185"/>
      <c r="O135" s="185"/>
      <c r="P135" s="185"/>
      <c r="Q135" s="185"/>
      <c r="R135" s="185"/>
      <c r="S135" s="185"/>
      <c r="T135" s="185"/>
      <c r="U135" s="185"/>
      <c r="V135" s="185"/>
      <c r="W135" s="185"/>
      <c r="X135" s="185"/>
    </row>
    <row r="136" spans="1:25" s="143" customFormat="1" ht="54" customHeight="1">
      <c r="A136" s="366" t="s">
        <v>91</v>
      </c>
      <c r="B136" s="367"/>
      <c r="C136" s="367"/>
      <c r="D136" s="367"/>
      <c r="E136" s="367"/>
      <c r="F136" s="367"/>
      <c r="G136" s="368"/>
      <c r="H136" s="184" t="s">
        <v>16</v>
      </c>
      <c r="I136" s="183" t="s">
        <v>15</v>
      </c>
      <c r="J136" s="181" t="s">
        <v>14</v>
      </c>
      <c r="K136" s="181" t="s">
        <v>13</v>
      </c>
      <c r="L136" s="181" t="s">
        <v>12</v>
      </c>
      <c r="M136" s="181" t="s">
        <v>11</v>
      </c>
      <c r="N136" s="181" t="s">
        <v>10</v>
      </c>
      <c r="O136" s="181" t="s">
        <v>9</v>
      </c>
      <c r="P136" s="181" t="s">
        <v>8</v>
      </c>
      <c r="Q136" s="181" t="s">
        <v>7</v>
      </c>
      <c r="R136" s="181" t="s">
        <v>6</v>
      </c>
      <c r="S136" s="182" t="s">
        <v>5</v>
      </c>
      <c r="T136" s="181" t="s">
        <v>4</v>
      </c>
      <c r="U136" s="181" t="s">
        <v>3</v>
      </c>
      <c r="V136" s="181" t="s">
        <v>2</v>
      </c>
      <c r="W136" s="181" t="s">
        <v>1</v>
      </c>
      <c r="X136" s="180" t="s">
        <v>0</v>
      </c>
    </row>
    <row r="137" spans="1:25" s="143" customFormat="1" ht="9.1999999999999993" customHeight="1" thickBot="1">
      <c r="A137" s="369"/>
      <c r="B137" s="370"/>
      <c r="C137" s="370"/>
      <c r="D137" s="370"/>
      <c r="E137" s="370"/>
      <c r="F137" s="370"/>
      <c r="G137" s="371"/>
      <c r="H137" s="179"/>
      <c r="I137" s="178"/>
      <c r="J137" s="176"/>
      <c r="K137" s="176"/>
      <c r="L137" s="176"/>
      <c r="M137" s="176"/>
      <c r="N137" s="176"/>
      <c r="O137" s="176"/>
      <c r="P137" s="176"/>
      <c r="Q137" s="176"/>
      <c r="R137" s="176"/>
      <c r="S137" s="177"/>
      <c r="T137" s="176"/>
      <c r="U137" s="176"/>
      <c r="V137" s="176"/>
      <c r="W137" s="176"/>
      <c r="X137" s="175"/>
    </row>
    <row r="138" spans="1:25" s="143" customFormat="1" ht="14.1" customHeight="1">
      <c r="A138" s="174"/>
      <c r="B138" s="365"/>
      <c r="C138" s="365"/>
      <c r="D138" s="365"/>
      <c r="E138" s="365"/>
      <c r="F138" s="365"/>
      <c r="G138" s="173"/>
      <c r="H138" s="172" t="s">
        <v>34</v>
      </c>
      <c r="I138" s="171" t="s">
        <v>34</v>
      </c>
      <c r="J138" s="170" t="s">
        <v>34</v>
      </c>
      <c r="K138" s="170" t="s">
        <v>34</v>
      </c>
      <c r="L138" s="170" t="s">
        <v>34</v>
      </c>
      <c r="M138" s="170" t="s">
        <v>34</v>
      </c>
      <c r="N138" s="170" t="s">
        <v>34</v>
      </c>
      <c r="O138" s="170" t="s">
        <v>34</v>
      </c>
      <c r="P138" s="170" t="s">
        <v>34</v>
      </c>
      <c r="Q138" s="170" t="s">
        <v>34</v>
      </c>
      <c r="R138" s="170" t="s">
        <v>34</v>
      </c>
      <c r="S138" s="170" t="s">
        <v>34</v>
      </c>
      <c r="T138" s="170" t="s">
        <v>34</v>
      </c>
      <c r="U138" s="170" t="s">
        <v>34</v>
      </c>
      <c r="V138" s="170" t="s">
        <v>34</v>
      </c>
      <c r="W138" s="170" t="s">
        <v>34</v>
      </c>
      <c r="X138" s="169" t="s">
        <v>34</v>
      </c>
      <c r="Y138" s="140"/>
    </row>
    <row r="139" spans="1:25" ht="15" customHeight="1">
      <c r="A139" s="166"/>
      <c r="B139" s="146" t="s">
        <v>133</v>
      </c>
      <c r="C139" s="165"/>
      <c r="D139" s="194" t="s">
        <v>111</v>
      </c>
      <c r="E139" s="198"/>
      <c r="F139" s="146" t="s">
        <v>39</v>
      </c>
      <c r="G139" s="162"/>
      <c r="H139" s="161">
        <f t="shared" ref="H139:H168" si="6">SUM(I139:X139)</f>
        <v>356</v>
      </c>
      <c r="I139" s="203">
        <v>30</v>
      </c>
      <c r="J139" s="202">
        <v>2</v>
      </c>
      <c r="K139" s="202">
        <v>0</v>
      </c>
      <c r="L139" s="202">
        <v>66</v>
      </c>
      <c r="M139" s="202">
        <v>36</v>
      </c>
      <c r="N139" s="202">
        <v>105</v>
      </c>
      <c r="O139" s="202">
        <v>11</v>
      </c>
      <c r="P139" s="202">
        <v>11</v>
      </c>
      <c r="Q139" s="202">
        <v>54</v>
      </c>
      <c r="R139" s="202">
        <v>9</v>
      </c>
      <c r="S139" s="202">
        <v>8</v>
      </c>
      <c r="T139" s="202">
        <v>0</v>
      </c>
      <c r="U139" s="202">
        <v>14</v>
      </c>
      <c r="V139" s="202">
        <v>0</v>
      </c>
      <c r="W139" s="202">
        <v>0</v>
      </c>
      <c r="X139" s="201">
        <v>10</v>
      </c>
    </row>
    <row r="140" spans="1:25" ht="15" customHeight="1">
      <c r="A140" s="166"/>
      <c r="B140" s="363" t="s">
        <v>130</v>
      </c>
      <c r="C140" s="363"/>
      <c r="D140" s="363"/>
      <c r="E140" s="167"/>
      <c r="F140" s="146" t="s">
        <v>87</v>
      </c>
      <c r="G140" s="162"/>
      <c r="H140" s="161">
        <f t="shared" si="6"/>
        <v>0</v>
      </c>
      <c r="I140" s="189">
        <v>0</v>
      </c>
      <c r="J140" s="159">
        <v>0</v>
      </c>
      <c r="K140" s="159">
        <v>0</v>
      </c>
      <c r="L140" s="159">
        <v>0</v>
      </c>
      <c r="M140" s="159">
        <v>0</v>
      </c>
      <c r="N140" s="159">
        <v>0</v>
      </c>
      <c r="O140" s="159">
        <v>0</v>
      </c>
      <c r="P140" s="159">
        <v>0</v>
      </c>
      <c r="Q140" s="159">
        <v>0</v>
      </c>
      <c r="R140" s="159">
        <v>0</v>
      </c>
      <c r="S140" s="159">
        <v>0</v>
      </c>
      <c r="T140" s="159">
        <v>0</v>
      </c>
      <c r="U140" s="159">
        <v>0</v>
      </c>
      <c r="V140" s="159">
        <v>0</v>
      </c>
      <c r="W140" s="159">
        <v>0</v>
      </c>
      <c r="X140" s="158">
        <v>0</v>
      </c>
    </row>
    <row r="141" spans="1:25" ht="15" customHeight="1">
      <c r="A141" s="166"/>
      <c r="B141" s="146" t="s">
        <v>132</v>
      </c>
      <c r="C141" s="195"/>
      <c r="D141" s="193" t="s">
        <v>130</v>
      </c>
      <c r="E141" s="198"/>
      <c r="F141" s="146" t="s">
        <v>39</v>
      </c>
      <c r="G141" s="162"/>
      <c r="H141" s="161">
        <f t="shared" si="6"/>
        <v>8985</v>
      </c>
      <c r="I141" s="192">
        <f>7+1</f>
        <v>8</v>
      </c>
      <c r="J141" s="191">
        <v>0</v>
      </c>
      <c r="K141" s="191">
        <v>6</v>
      </c>
      <c r="L141" s="191">
        <f>9+13</f>
        <v>22</v>
      </c>
      <c r="M141" s="191">
        <v>1</v>
      </c>
      <c r="N141" s="191">
        <f>10+38</f>
        <v>48</v>
      </c>
      <c r="O141" s="191">
        <v>2</v>
      </c>
      <c r="P141" s="191">
        <v>0</v>
      </c>
      <c r="Q141" s="191">
        <v>5</v>
      </c>
      <c r="R141" s="191">
        <v>0</v>
      </c>
      <c r="S141" s="191">
        <f>0+4797</f>
        <v>4797</v>
      </c>
      <c r="T141" s="191">
        <v>0</v>
      </c>
      <c r="U141" s="191">
        <f>0+3</f>
        <v>3</v>
      </c>
      <c r="V141" s="191">
        <v>0</v>
      </c>
      <c r="W141" s="191">
        <v>0</v>
      </c>
      <c r="X141" s="190">
        <f>3+4090</f>
        <v>4093</v>
      </c>
    </row>
    <row r="142" spans="1:25" ht="15" customHeight="1">
      <c r="A142" s="166"/>
      <c r="B142" s="363" t="s">
        <v>130</v>
      </c>
      <c r="C142" s="363"/>
      <c r="D142" s="363"/>
      <c r="E142" s="167"/>
      <c r="F142" s="146" t="s">
        <v>87</v>
      </c>
      <c r="G142" s="162"/>
      <c r="H142" s="161">
        <f t="shared" si="6"/>
        <v>0</v>
      </c>
      <c r="I142" s="189">
        <v>0</v>
      </c>
      <c r="J142" s="159">
        <v>0</v>
      </c>
      <c r="K142" s="159">
        <v>0</v>
      </c>
      <c r="L142" s="159">
        <v>0</v>
      </c>
      <c r="M142" s="159">
        <v>0</v>
      </c>
      <c r="N142" s="159">
        <v>0</v>
      </c>
      <c r="O142" s="159">
        <v>0</v>
      </c>
      <c r="P142" s="159">
        <v>0</v>
      </c>
      <c r="Q142" s="159">
        <v>0</v>
      </c>
      <c r="R142" s="159">
        <v>0</v>
      </c>
      <c r="S142" s="159">
        <v>0</v>
      </c>
      <c r="T142" s="159">
        <v>0</v>
      </c>
      <c r="U142" s="159">
        <v>0</v>
      </c>
      <c r="V142" s="159">
        <v>0</v>
      </c>
      <c r="W142" s="159">
        <v>0</v>
      </c>
      <c r="X142" s="158">
        <v>0</v>
      </c>
    </row>
    <row r="143" spans="1:25" ht="15" customHeight="1">
      <c r="A143" s="166"/>
      <c r="B143" s="146" t="s">
        <v>131</v>
      </c>
      <c r="C143" s="165"/>
      <c r="D143" s="193" t="s">
        <v>130</v>
      </c>
      <c r="E143" s="198"/>
      <c r="F143" s="146" t="s">
        <v>39</v>
      </c>
      <c r="G143" s="162"/>
      <c r="H143" s="161">
        <f t="shared" si="6"/>
        <v>143</v>
      </c>
      <c r="I143" s="192">
        <v>12</v>
      </c>
      <c r="J143" s="191">
        <v>10</v>
      </c>
      <c r="K143" s="191">
        <v>0</v>
      </c>
      <c r="L143" s="191">
        <v>34</v>
      </c>
      <c r="M143" s="191">
        <v>13</v>
      </c>
      <c r="N143" s="191">
        <v>25</v>
      </c>
      <c r="O143" s="191">
        <v>3</v>
      </c>
      <c r="P143" s="191">
        <v>2</v>
      </c>
      <c r="Q143" s="191">
        <v>19</v>
      </c>
      <c r="R143" s="191">
        <v>0</v>
      </c>
      <c r="S143" s="191">
        <v>11</v>
      </c>
      <c r="T143" s="191">
        <v>0</v>
      </c>
      <c r="U143" s="191">
        <v>3</v>
      </c>
      <c r="V143" s="191">
        <v>0</v>
      </c>
      <c r="W143" s="191">
        <v>0</v>
      </c>
      <c r="X143" s="190">
        <v>11</v>
      </c>
    </row>
    <row r="144" spans="1:25" ht="15" customHeight="1">
      <c r="A144" s="166"/>
      <c r="B144" s="363" t="s">
        <v>130</v>
      </c>
      <c r="C144" s="363"/>
      <c r="D144" s="363"/>
      <c r="E144" s="167"/>
      <c r="F144" s="146" t="s">
        <v>87</v>
      </c>
      <c r="G144" s="162"/>
      <c r="H144" s="161">
        <f t="shared" si="6"/>
        <v>0</v>
      </c>
      <c r="I144" s="189">
        <v>0</v>
      </c>
      <c r="J144" s="159">
        <v>0</v>
      </c>
      <c r="K144" s="159">
        <v>0</v>
      </c>
      <c r="L144" s="159">
        <v>0</v>
      </c>
      <c r="M144" s="159">
        <v>0</v>
      </c>
      <c r="N144" s="159">
        <v>0</v>
      </c>
      <c r="O144" s="159">
        <v>0</v>
      </c>
      <c r="P144" s="159">
        <v>0</v>
      </c>
      <c r="Q144" s="159">
        <v>0</v>
      </c>
      <c r="R144" s="159">
        <v>0</v>
      </c>
      <c r="S144" s="159">
        <v>0</v>
      </c>
      <c r="T144" s="159">
        <v>0</v>
      </c>
      <c r="U144" s="159">
        <v>0</v>
      </c>
      <c r="V144" s="159">
        <v>0</v>
      </c>
      <c r="W144" s="159">
        <v>0</v>
      </c>
      <c r="X144" s="158">
        <v>0</v>
      </c>
    </row>
    <row r="145" spans="1:25" ht="15" customHeight="1">
      <c r="A145" s="166"/>
      <c r="B145" s="146" t="s">
        <v>129</v>
      </c>
      <c r="C145" s="195"/>
      <c r="D145" s="193" t="s">
        <v>128</v>
      </c>
      <c r="E145" s="198"/>
      <c r="F145" s="146" t="s">
        <v>39</v>
      </c>
      <c r="G145" s="162"/>
      <c r="H145" s="161">
        <f t="shared" si="6"/>
        <v>16</v>
      </c>
      <c r="I145" s="192">
        <v>1</v>
      </c>
      <c r="J145" s="191">
        <v>0</v>
      </c>
      <c r="K145" s="191">
        <v>0</v>
      </c>
      <c r="L145" s="191">
        <v>13</v>
      </c>
      <c r="M145" s="191">
        <v>0</v>
      </c>
      <c r="N145" s="191">
        <v>0</v>
      </c>
      <c r="O145" s="191">
        <v>0</v>
      </c>
      <c r="P145" s="191">
        <v>0</v>
      </c>
      <c r="Q145" s="191">
        <v>0</v>
      </c>
      <c r="R145" s="191">
        <v>0</v>
      </c>
      <c r="S145" s="191">
        <v>1</v>
      </c>
      <c r="T145" s="191">
        <v>1</v>
      </c>
      <c r="U145" s="191">
        <v>0</v>
      </c>
      <c r="V145" s="191">
        <v>0</v>
      </c>
      <c r="W145" s="191">
        <v>0</v>
      </c>
      <c r="X145" s="190">
        <v>0</v>
      </c>
    </row>
    <row r="146" spans="1:25" ht="15" customHeight="1">
      <c r="A146" s="166"/>
      <c r="B146" s="363" t="s">
        <v>128</v>
      </c>
      <c r="C146" s="363"/>
      <c r="D146" s="363"/>
      <c r="E146" s="167"/>
      <c r="F146" s="146" t="s">
        <v>87</v>
      </c>
      <c r="G146" s="162"/>
      <c r="H146" s="161">
        <f t="shared" si="6"/>
        <v>0</v>
      </c>
      <c r="I146" s="189">
        <v>0</v>
      </c>
      <c r="J146" s="159">
        <v>0</v>
      </c>
      <c r="K146" s="159">
        <v>0</v>
      </c>
      <c r="L146" s="159">
        <v>0</v>
      </c>
      <c r="M146" s="159">
        <v>0</v>
      </c>
      <c r="N146" s="159">
        <v>0</v>
      </c>
      <c r="O146" s="159">
        <v>0</v>
      </c>
      <c r="P146" s="159">
        <v>0</v>
      </c>
      <c r="Q146" s="159">
        <v>0</v>
      </c>
      <c r="R146" s="159">
        <v>0</v>
      </c>
      <c r="S146" s="159">
        <v>0</v>
      </c>
      <c r="T146" s="159">
        <v>0</v>
      </c>
      <c r="U146" s="159">
        <v>0</v>
      </c>
      <c r="V146" s="159">
        <v>0</v>
      </c>
      <c r="W146" s="159">
        <v>0</v>
      </c>
      <c r="X146" s="158">
        <v>0</v>
      </c>
    </row>
    <row r="147" spans="1:25" ht="15" customHeight="1">
      <c r="A147" s="166"/>
      <c r="B147" s="146" t="s">
        <v>127</v>
      </c>
      <c r="C147" s="195"/>
      <c r="D147" s="193" t="s">
        <v>119</v>
      </c>
      <c r="E147" s="198"/>
      <c r="F147" s="146" t="s">
        <v>39</v>
      </c>
      <c r="G147" s="162"/>
      <c r="H147" s="161">
        <f t="shared" si="6"/>
        <v>48</v>
      </c>
      <c r="I147" s="192">
        <v>1</v>
      </c>
      <c r="J147" s="191">
        <v>4</v>
      </c>
      <c r="K147" s="191">
        <v>2</v>
      </c>
      <c r="L147" s="191">
        <v>14</v>
      </c>
      <c r="M147" s="191">
        <v>7</v>
      </c>
      <c r="N147" s="191">
        <v>2</v>
      </c>
      <c r="O147" s="191">
        <v>4</v>
      </c>
      <c r="P147" s="191">
        <v>0</v>
      </c>
      <c r="Q147" s="191">
        <v>1</v>
      </c>
      <c r="R147" s="191">
        <v>0</v>
      </c>
      <c r="S147" s="191">
        <v>1</v>
      </c>
      <c r="T147" s="191">
        <v>4</v>
      </c>
      <c r="U147" s="191">
        <v>0</v>
      </c>
      <c r="V147" s="191">
        <v>0</v>
      </c>
      <c r="W147" s="191">
        <v>0</v>
      </c>
      <c r="X147" s="190">
        <v>8</v>
      </c>
    </row>
    <row r="148" spans="1:25" ht="15" customHeight="1">
      <c r="A148" s="166"/>
      <c r="B148" s="363" t="s">
        <v>119</v>
      </c>
      <c r="C148" s="363"/>
      <c r="D148" s="363"/>
      <c r="E148" s="167"/>
      <c r="F148" s="146" t="s">
        <v>87</v>
      </c>
      <c r="G148" s="162"/>
      <c r="H148" s="161">
        <f t="shared" si="6"/>
        <v>0</v>
      </c>
      <c r="I148" s="189">
        <v>0</v>
      </c>
      <c r="J148" s="159">
        <v>0</v>
      </c>
      <c r="K148" s="159">
        <v>0</v>
      </c>
      <c r="L148" s="159">
        <v>0</v>
      </c>
      <c r="M148" s="159">
        <v>0</v>
      </c>
      <c r="N148" s="159">
        <v>0</v>
      </c>
      <c r="O148" s="159">
        <v>0</v>
      </c>
      <c r="P148" s="159">
        <v>0</v>
      </c>
      <c r="Q148" s="159">
        <v>0</v>
      </c>
      <c r="R148" s="159">
        <v>0</v>
      </c>
      <c r="S148" s="159">
        <v>0</v>
      </c>
      <c r="T148" s="159">
        <v>0</v>
      </c>
      <c r="U148" s="159">
        <v>0</v>
      </c>
      <c r="V148" s="159">
        <v>0</v>
      </c>
      <c r="W148" s="159">
        <v>0</v>
      </c>
      <c r="X148" s="158">
        <v>0</v>
      </c>
    </row>
    <row r="149" spans="1:25" ht="15" customHeight="1">
      <c r="A149" s="166"/>
      <c r="B149" s="146" t="s">
        <v>126</v>
      </c>
      <c r="C149" s="195"/>
      <c r="D149" s="193" t="s">
        <v>119</v>
      </c>
      <c r="E149" s="194"/>
      <c r="F149" s="146" t="s">
        <v>39</v>
      </c>
      <c r="G149" s="162"/>
      <c r="H149" s="161">
        <f t="shared" si="6"/>
        <v>99</v>
      </c>
      <c r="I149" s="192">
        <v>2</v>
      </c>
      <c r="J149" s="191">
        <v>0</v>
      </c>
      <c r="K149" s="191">
        <v>1</v>
      </c>
      <c r="L149" s="191">
        <v>20</v>
      </c>
      <c r="M149" s="191">
        <v>37</v>
      </c>
      <c r="N149" s="191">
        <v>3</v>
      </c>
      <c r="O149" s="191">
        <v>0</v>
      </c>
      <c r="P149" s="191">
        <v>0</v>
      </c>
      <c r="Q149" s="191">
        <v>8</v>
      </c>
      <c r="R149" s="191">
        <v>7</v>
      </c>
      <c r="S149" s="191">
        <v>8</v>
      </c>
      <c r="T149" s="191">
        <v>0</v>
      </c>
      <c r="U149" s="191">
        <v>4</v>
      </c>
      <c r="V149" s="191">
        <v>0</v>
      </c>
      <c r="W149" s="191">
        <v>0</v>
      </c>
      <c r="X149" s="190">
        <v>9</v>
      </c>
    </row>
    <row r="150" spans="1:25" ht="15" customHeight="1">
      <c r="A150" s="166"/>
      <c r="B150" s="363" t="s">
        <v>119</v>
      </c>
      <c r="C150" s="363"/>
      <c r="D150" s="363"/>
      <c r="E150" s="167"/>
      <c r="F150" s="146" t="s">
        <v>87</v>
      </c>
      <c r="G150" s="162"/>
      <c r="H150" s="161">
        <f t="shared" si="6"/>
        <v>0</v>
      </c>
      <c r="I150" s="189">
        <v>0</v>
      </c>
      <c r="J150" s="159">
        <v>0</v>
      </c>
      <c r="K150" s="159">
        <v>0</v>
      </c>
      <c r="L150" s="159">
        <v>0</v>
      </c>
      <c r="M150" s="159">
        <v>0</v>
      </c>
      <c r="N150" s="159">
        <v>0</v>
      </c>
      <c r="O150" s="159">
        <v>0</v>
      </c>
      <c r="P150" s="159">
        <v>0</v>
      </c>
      <c r="Q150" s="159">
        <v>0</v>
      </c>
      <c r="R150" s="159">
        <v>0</v>
      </c>
      <c r="S150" s="159">
        <v>0</v>
      </c>
      <c r="T150" s="159">
        <v>0</v>
      </c>
      <c r="U150" s="159">
        <v>0</v>
      </c>
      <c r="V150" s="159">
        <v>0</v>
      </c>
      <c r="W150" s="159">
        <v>0</v>
      </c>
      <c r="X150" s="158">
        <v>0</v>
      </c>
    </row>
    <row r="151" spans="1:25" ht="15" customHeight="1">
      <c r="A151" s="166"/>
      <c r="B151" s="146" t="s">
        <v>125</v>
      </c>
      <c r="C151" s="200"/>
      <c r="D151" s="193" t="s">
        <v>122</v>
      </c>
      <c r="E151" s="198"/>
      <c r="F151" s="146" t="s">
        <v>39</v>
      </c>
      <c r="G151" s="162"/>
      <c r="H151" s="161">
        <f t="shared" si="6"/>
        <v>41</v>
      </c>
      <c r="I151" s="192">
        <v>6</v>
      </c>
      <c r="J151" s="191">
        <v>2</v>
      </c>
      <c r="K151" s="191">
        <v>1</v>
      </c>
      <c r="L151" s="191">
        <v>7</v>
      </c>
      <c r="M151" s="191">
        <v>2</v>
      </c>
      <c r="N151" s="191">
        <v>7</v>
      </c>
      <c r="O151" s="191">
        <v>0</v>
      </c>
      <c r="P151" s="191">
        <v>1</v>
      </c>
      <c r="Q151" s="191">
        <v>4</v>
      </c>
      <c r="R151" s="191">
        <v>0</v>
      </c>
      <c r="S151" s="191">
        <v>2</v>
      </c>
      <c r="T151" s="191">
        <v>0</v>
      </c>
      <c r="U151" s="191">
        <v>4</v>
      </c>
      <c r="V151" s="191">
        <v>0</v>
      </c>
      <c r="W151" s="191">
        <v>0</v>
      </c>
      <c r="X151" s="190">
        <v>5</v>
      </c>
    </row>
    <row r="152" spans="1:25" ht="15" customHeight="1">
      <c r="A152" s="166"/>
      <c r="B152" s="363" t="s">
        <v>122</v>
      </c>
      <c r="C152" s="363"/>
      <c r="D152" s="363"/>
      <c r="E152" s="167"/>
      <c r="F152" s="146" t="s">
        <v>87</v>
      </c>
      <c r="G152" s="162"/>
      <c r="H152" s="161">
        <f t="shared" si="6"/>
        <v>12</v>
      </c>
      <c r="I152" s="189">
        <v>0</v>
      </c>
      <c r="J152" s="159">
        <v>4</v>
      </c>
      <c r="K152" s="159">
        <v>0</v>
      </c>
      <c r="L152" s="159">
        <v>8</v>
      </c>
      <c r="M152" s="159">
        <v>0</v>
      </c>
      <c r="N152" s="159">
        <v>0</v>
      </c>
      <c r="O152" s="159">
        <v>0</v>
      </c>
      <c r="P152" s="159">
        <v>0</v>
      </c>
      <c r="Q152" s="159">
        <v>0</v>
      </c>
      <c r="R152" s="159">
        <v>0</v>
      </c>
      <c r="S152" s="159">
        <v>0</v>
      </c>
      <c r="T152" s="159">
        <v>0</v>
      </c>
      <c r="U152" s="159">
        <v>0</v>
      </c>
      <c r="V152" s="159">
        <v>0</v>
      </c>
      <c r="W152" s="159">
        <v>0</v>
      </c>
      <c r="X152" s="158">
        <v>0</v>
      </c>
    </row>
    <row r="153" spans="1:25" ht="15" customHeight="1">
      <c r="A153" s="166"/>
      <c r="B153" s="146" t="s">
        <v>124</v>
      </c>
      <c r="C153" s="195"/>
      <c r="D153" s="193" t="s">
        <v>122</v>
      </c>
      <c r="E153" s="198"/>
      <c r="F153" s="146" t="s">
        <v>39</v>
      </c>
      <c r="G153" s="162"/>
      <c r="H153" s="161">
        <f t="shared" si="6"/>
        <v>14</v>
      </c>
      <c r="I153" s="192">
        <v>1</v>
      </c>
      <c r="J153" s="191">
        <v>0</v>
      </c>
      <c r="K153" s="191">
        <v>0</v>
      </c>
      <c r="L153" s="191">
        <v>2</v>
      </c>
      <c r="M153" s="191">
        <v>8</v>
      </c>
      <c r="N153" s="191">
        <v>0</v>
      </c>
      <c r="O153" s="191">
        <v>0</v>
      </c>
      <c r="P153" s="191">
        <v>0</v>
      </c>
      <c r="Q153" s="191">
        <v>0</v>
      </c>
      <c r="R153" s="191">
        <v>0</v>
      </c>
      <c r="S153" s="191">
        <v>3</v>
      </c>
      <c r="T153" s="191">
        <v>0</v>
      </c>
      <c r="U153" s="191">
        <v>0</v>
      </c>
      <c r="V153" s="191">
        <v>0</v>
      </c>
      <c r="W153" s="191">
        <v>0</v>
      </c>
      <c r="X153" s="190">
        <v>0</v>
      </c>
    </row>
    <row r="154" spans="1:25" ht="15" customHeight="1">
      <c r="A154" s="166"/>
      <c r="B154" s="363" t="s">
        <v>122</v>
      </c>
      <c r="C154" s="363"/>
      <c r="D154" s="363"/>
      <c r="E154" s="167"/>
      <c r="F154" s="146" t="s">
        <v>87</v>
      </c>
      <c r="G154" s="162"/>
      <c r="H154" s="161">
        <f t="shared" si="6"/>
        <v>0</v>
      </c>
      <c r="I154" s="189">
        <v>0</v>
      </c>
      <c r="J154" s="159">
        <v>0</v>
      </c>
      <c r="K154" s="159">
        <v>0</v>
      </c>
      <c r="L154" s="159">
        <v>0</v>
      </c>
      <c r="M154" s="159">
        <v>0</v>
      </c>
      <c r="N154" s="159">
        <v>0</v>
      </c>
      <c r="O154" s="159">
        <v>0</v>
      </c>
      <c r="P154" s="159">
        <v>0</v>
      </c>
      <c r="Q154" s="159">
        <v>0</v>
      </c>
      <c r="R154" s="159">
        <v>0</v>
      </c>
      <c r="S154" s="159">
        <v>0</v>
      </c>
      <c r="T154" s="159">
        <v>0</v>
      </c>
      <c r="U154" s="159">
        <v>0</v>
      </c>
      <c r="V154" s="159">
        <v>0</v>
      </c>
      <c r="W154" s="159">
        <v>0</v>
      </c>
      <c r="X154" s="158">
        <v>0</v>
      </c>
    </row>
    <row r="155" spans="1:25" ht="15" customHeight="1">
      <c r="A155" s="166"/>
      <c r="B155" s="146" t="s">
        <v>123</v>
      </c>
      <c r="C155" s="195"/>
      <c r="D155" s="193" t="s">
        <v>122</v>
      </c>
      <c r="E155" s="198"/>
      <c r="F155" s="146" t="s">
        <v>39</v>
      </c>
      <c r="G155" s="162"/>
      <c r="H155" s="161">
        <f t="shared" si="6"/>
        <v>27</v>
      </c>
      <c r="I155" s="192">
        <v>2</v>
      </c>
      <c r="J155" s="191">
        <v>0</v>
      </c>
      <c r="K155" s="191">
        <v>0</v>
      </c>
      <c r="L155" s="191">
        <v>5</v>
      </c>
      <c r="M155" s="191">
        <v>10</v>
      </c>
      <c r="N155" s="191">
        <v>4</v>
      </c>
      <c r="O155" s="191">
        <v>1</v>
      </c>
      <c r="P155" s="191">
        <v>0</v>
      </c>
      <c r="Q155" s="191">
        <v>2</v>
      </c>
      <c r="R155" s="191">
        <v>0</v>
      </c>
      <c r="S155" s="191">
        <v>0</v>
      </c>
      <c r="T155" s="191">
        <v>0</v>
      </c>
      <c r="U155" s="191">
        <v>3</v>
      </c>
      <c r="V155" s="191">
        <v>0</v>
      </c>
      <c r="W155" s="191">
        <v>0</v>
      </c>
      <c r="X155" s="190">
        <v>0</v>
      </c>
    </row>
    <row r="156" spans="1:25" ht="15" customHeight="1">
      <c r="A156" s="166"/>
      <c r="B156" s="363" t="s">
        <v>122</v>
      </c>
      <c r="C156" s="363"/>
      <c r="D156" s="363"/>
      <c r="E156" s="167"/>
      <c r="F156" s="146" t="s">
        <v>87</v>
      </c>
      <c r="G156" s="162"/>
      <c r="H156" s="161">
        <f t="shared" si="6"/>
        <v>0</v>
      </c>
      <c r="I156" s="189">
        <v>0</v>
      </c>
      <c r="J156" s="159">
        <v>0</v>
      </c>
      <c r="K156" s="159">
        <v>0</v>
      </c>
      <c r="L156" s="159">
        <v>0</v>
      </c>
      <c r="M156" s="159">
        <v>0</v>
      </c>
      <c r="N156" s="159">
        <v>0</v>
      </c>
      <c r="O156" s="159">
        <v>0</v>
      </c>
      <c r="P156" s="159">
        <v>0</v>
      </c>
      <c r="Q156" s="159">
        <v>0</v>
      </c>
      <c r="R156" s="159">
        <v>0</v>
      </c>
      <c r="S156" s="159">
        <v>0</v>
      </c>
      <c r="T156" s="159">
        <v>0</v>
      </c>
      <c r="U156" s="159">
        <v>0</v>
      </c>
      <c r="V156" s="159">
        <v>0</v>
      </c>
      <c r="W156" s="159">
        <v>0</v>
      </c>
      <c r="X156" s="158">
        <v>0</v>
      </c>
    </row>
    <row r="157" spans="1:25" ht="15" customHeight="1">
      <c r="A157" s="166"/>
      <c r="B157" s="146" t="s">
        <v>121</v>
      </c>
      <c r="C157" s="195"/>
      <c r="D157" s="193" t="s">
        <v>119</v>
      </c>
      <c r="E157" s="198"/>
      <c r="F157" s="146" t="s">
        <v>39</v>
      </c>
      <c r="G157" s="162"/>
      <c r="H157" s="161">
        <f t="shared" si="6"/>
        <v>22</v>
      </c>
      <c r="I157" s="192">
        <v>3</v>
      </c>
      <c r="J157" s="191">
        <v>0</v>
      </c>
      <c r="K157" s="191">
        <v>0</v>
      </c>
      <c r="L157" s="191">
        <v>5</v>
      </c>
      <c r="M157" s="191">
        <v>0</v>
      </c>
      <c r="N157" s="191">
        <v>7</v>
      </c>
      <c r="O157" s="191">
        <v>0</v>
      </c>
      <c r="P157" s="191">
        <v>1</v>
      </c>
      <c r="Q157" s="191">
        <v>4</v>
      </c>
      <c r="R157" s="191">
        <v>0</v>
      </c>
      <c r="S157" s="191">
        <v>2</v>
      </c>
      <c r="T157" s="191">
        <v>0</v>
      </c>
      <c r="U157" s="191">
        <v>0</v>
      </c>
      <c r="V157" s="191">
        <v>0</v>
      </c>
      <c r="W157" s="191">
        <v>0</v>
      </c>
      <c r="X157" s="190">
        <v>0</v>
      </c>
      <c r="Y157" s="199"/>
    </row>
    <row r="158" spans="1:25" ht="15" customHeight="1">
      <c r="A158" s="166"/>
      <c r="B158" s="363" t="s">
        <v>119</v>
      </c>
      <c r="C158" s="363"/>
      <c r="D158" s="363"/>
      <c r="E158" s="167"/>
      <c r="F158" s="146" t="s">
        <v>87</v>
      </c>
      <c r="G158" s="162"/>
      <c r="H158" s="161">
        <f t="shared" si="6"/>
        <v>0</v>
      </c>
      <c r="I158" s="189">
        <v>0</v>
      </c>
      <c r="J158" s="159">
        <v>0</v>
      </c>
      <c r="K158" s="159">
        <v>0</v>
      </c>
      <c r="L158" s="159">
        <v>0</v>
      </c>
      <c r="M158" s="159">
        <v>0</v>
      </c>
      <c r="N158" s="159">
        <v>0</v>
      </c>
      <c r="O158" s="159">
        <v>0</v>
      </c>
      <c r="P158" s="159">
        <v>0</v>
      </c>
      <c r="Q158" s="159">
        <v>0</v>
      </c>
      <c r="R158" s="159">
        <v>0</v>
      </c>
      <c r="S158" s="159">
        <v>0</v>
      </c>
      <c r="T158" s="159">
        <v>0</v>
      </c>
      <c r="U158" s="159">
        <v>0</v>
      </c>
      <c r="V158" s="159">
        <v>0</v>
      </c>
      <c r="W158" s="159">
        <v>0</v>
      </c>
      <c r="X158" s="158">
        <v>0</v>
      </c>
      <c r="Y158" s="199"/>
    </row>
    <row r="159" spans="1:25" ht="15" customHeight="1">
      <c r="A159" s="166"/>
      <c r="B159" s="146" t="s">
        <v>120</v>
      </c>
      <c r="C159" s="195"/>
      <c r="D159" s="193" t="s">
        <v>119</v>
      </c>
      <c r="E159" s="198"/>
      <c r="F159" s="146" t="s">
        <v>39</v>
      </c>
      <c r="G159" s="162"/>
      <c r="H159" s="161">
        <f t="shared" si="6"/>
        <v>31</v>
      </c>
      <c r="I159" s="192">
        <v>1</v>
      </c>
      <c r="J159" s="191">
        <v>0</v>
      </c>
      <c r="K159" s="191">
        <v>0</v>
      </c>
      <c r="L159" s="191">
        <v>3</v>
      </c>
      <c r="M159" s="191">
        <v>9</v>
      </c>
      <c r="N159" s="191">
        <v>11</v>
      </c>
      <c r="O159" s="191">
        <v>1</v>
      </c>
      <c r="P159" s="191">
        <v>0</v>
      </c>
      <c r="Q159" s="191">
        <v>0</v>
      </c>
      <c r="R159" s="191">
        <v>0</v>
      </c>
      <c r="S159" s="191">
        <v>5</v>
      </c>
      <c r="T159" s="191">
        <v>0</v>
      </c>
      <c r="U159" s="191">
        <v>1</v>
      </c>
      <c r="V159" s="191">
        <v>0</v>
      </c>
      <c r="W159" s="191">
        <v>0</v>
      </c>
      <c r="X159" s="190">
        <v>0</v>
      </c>
      <c r="Y159" s="199"/>
    </row>
    <row r="160" spans="1:25" ht="15" customHeight="1">
      <c r="A160" s="166"/>
      <c r="B160" s="363" t="s">
        <v>119</v>
      </c>
      <c r="C160" s="363"/>
      <c r="D160" s="363"/>
      <c r="E160" s="167"/>
      <c r="F160" s="146" t="s">
        <v>87</v>
      </c>
      <c r="G160" s="162"/>
      <c r="H160" s="161">
        <f t="shared" si="6"/>
        <v>0</v>
      </c>
      <c r="I160" s="189">
        <v>0</v>
      </c>
      <c r="J160" s="159">
        <v>0</v>
      </c>
      <c r="K160" s="159">
        <v>0</v>
      </c>
      <c r="L160" s="159">
        <v>0</v>
      </c>
      <c r="M160" s="159">
        <v>0</v>
      </c>
      <c r="N160" s="159">
        <v>0</v>
      </c>
      <c r="O160" s="159">
        <v>0</v>
      </c>
      <c r="P160" s="159">
        <v>0</v>
      </c>
      <c r="Q160" s="159">
        <v>0</v>
      </c>
      <c r="R160" s="159">
        <v>0</v>
      </c>
      <c r="S160" s="159">
        <v>0</v>
      </c>
      <c r="T160" s="159">
        <v>0</v>
      </c>
      <c r="U160" s="159">
        <v>0</v>
      </c>
      <c r="V160" s="159">
        <v>0</v>
      </c>
      <c r="W160" s="159">
        <v>0</v>
      </c>
      <c r="X160" s="158">
        <v>0</v>
      </c>
      <c r="Y160" s="199"/>
    </row>
    <row r="161" spans="1:25" ht="15" customHeight="1">
      <c r="A161" s="166"/>
      <c r="B161" s="197" t="s">
        <v>118</v>
      </c>
      <c r="C161" s="195"/>
      <c r="D161" s="193" t="s">
        <v>117</v>
      </c>
      <c r="E161" s="198"/>
      <c r="F161" s="146" t="s">
        <v>39</v>
      </c>
      <c r="G161" s="162"/>
      <c r="H161" s="161">
        <f t="shared" si="6"/>
        <v>32</v>
      </c>
      <c r="I161" s="192">
        <v>4</v>
      </c>
      <c r="J161" s="191">
        <v>0</v>
      </c>
      <c r="K161" s="191">
        <v>0</v>
      </c>
      <c r="L161" s="191">
        <v>0</v>
      </c>
      <c r="M161" s="191">
        <v>0</v>
      </c>
      <c r="N161" s="191">
        <v>13</v>
      </c>
      <c r="O161" s="191">
        <v>0</v>
      </c>
      <c r="P161" s="191">
        <v>0</v>
      </c>
      <c r="Q161" s="191">
        <v>11</v>
      </c>
      <c r="R161" s="191">
        <v>0</v>
      </c>
      <c r="S161" s="191">
        <v>0</v>
      </c>
      <c r="T161" s="191">
        <v>0</v>
      </c>
      <c r="U161" s="191">
        <v>4</v>
      </c>
      <c r="V161" s="191">
        <v>0</v>
      </c>
      <c r="W161" s="191">
        <v>0</v>
      </c>
      <c r="X161" s="190">
        <v>0</v>
      </c>
      <c r="Y161" s="199"/>
    </row>
    <row r="162" spans="1:25" ht="15" customHeight="1">
      <c r="A162" s="166"/>
      <c r="B162" s="363" t="s">
        <v>117</v>
      </c>
      <c r="C162" s="363"/>
      <c r="D162" s="363"/>
      <c r="E162" s="167"/>
      <c r="F162" s="146" t="s">
        <v>87</v>
      </c>
      <c r="G162" s="162"/>
      <c r="H162" s="161">
        <f t="shared" si="6"/>
        <v>0</v>
      </c>
      <c r="I162" s="189">
        <v>0</v>
      </c>
      <c r="J162" s="159">
        <v>0</v>
      </c>
      <c r="K162" s="159">
        <v>0</v>
      </c>
      <c r="L162" s="159">
        <v>0</v>
      </c>
      <c r="M162" s="159">
        <v>0</v>
      </c>
      <c r="N162" s="159">
        <v>0</v>
      </c>
      <c r="O162" s="159">
        <v>0</v>
      </c>
      <c r="P162" s="159">
        <v>0</v>
      </c>
      <c r="Q162" s="159">
        <v>0</v>
      </c>
      <c r="R162" s="159">
        <v>0</v>
      </c>
      <c r="S162" s="159">
        <v>0</v>
      </c>
      <c r="T162" s="159">
        <v>0</v>
      </c>
      <c r="U162" s="159">
        <v>0</v>
      </c>
      <c r="V162" s="159">
        <v>0</v>
      </c>
      <c r="W162" s="159">
        <v>0</v>
      </c>
      <c r="X162" s="158">
        <v>0</v>
      </c>
      <c r="Y162" s="199"/>
    </row>
    <row r="163" spans="1:25" ht="15" customHeight="1">
      <c r="A163" s="166"/>
      <c r="B163" s="146" t="s">
        <v>116</v>
      </c>
      <c r="C163" s="195"/>
      <c r="D163" s="193" t="s">
        <v>17</v>
      </c>
      <c r="E163" s="198"/>
      <c r="F163" s="146" t="s">
        <v>39</v>
      </c>
      <c r="G163" s="162"/>
      <c r="H163" s="161">
        <f t="shared" si="6"/>
        <v>61</v>
      </c>
      <c r="I163" s="192">
        <v>0</v>
      </c>
      <c r="J163" s="191">
        <v>0</v>
      </c>
      <c r="K163" s="191">
        <v>0</v>
      </c>
      <c r="L163" s="191">
        <v>4</v>
      </c>
      <c r="M163" s="191">
        <v>5</v>
      </c>
      <c r="N163" s="191">
        <v>36</v>
      </c>
      <c r="O163" s="191">
        <v>1</v>
      </c>
      <c r="P163" s="191">
        <v>0</v>
      </c>
      <c r="Q163" s="191">
        <v>11</v>
      </c>
      <c r="R163" s="191">
        <v>0</v>
      </c>
      <c r="S163" s="191">
        <v>1</v>
      </c>
      <c r="T163" s="191">
        <v>0</v>
      </c>
      <c r="U163" s="191">
        <v>2</v>
      </c>
      <c r="V163" s="191">
        <v>1</v>
      </c>
      <c r="W163" s="191">
        <v>0</v>
      </c>
      <c r="X163" s="190">
        <v>0</v>
      </c>
      <c r="Y163" s="199"/>
    </row>
    <row r="164" spans="1:25" ht="15" customHeight="1">
      <c r="A164" s="166"/>
      <c r="B164" s="363" t="s">
        <v>114</v>
      </c>
      <c r="C164" s="363"/>
      <c r="D164" s="363"/>
      <c r="E164" s="167"/>
      <c r="F164" s="146" t="s">
        <v>87</v>
      </c>
      <c r="G164" s="162"/>
      <c r="H164" s="161">
        <f t="shared" si="6"/>
        <v>0</v>
      </c>
      <c r="I164" s="189">
        <v>0</v>
      </c>
      <c r="J164" s="159">
        <v>0</v>
      </c>
      <c r="K164" s="159">
        <v>0</v>
      </c>
      <c r="L164" s="159">
        <v>0</v>
      </c>
      <c r="M164" s="159">
        <v>0</v>
      </c>
      <c r="N164" s="159">
        <v>0</v>
      </c>
      <c r="O164" s="159">
        <v>0</v>
      </c>
      <c r="P164" s="159">
        <v>0</v>
      </c>
      <c r="Q164" s="159">
        <v>0</v>
      </c>
      <c r="R164" s="159">
        <v>0</v>
      </c>
      <c r="S164" s="159">
        <v>0</v>
      </c>
      <c r="T164" s="159">
        <v>0</v>
      </c>
      <c r="U164" s="159">
        <v>0</v>
      </c>
      <c r="V164" s="159">
        <v>0</v>
      </c>
      <c r="W164" s="159">
        <v>0</v>
      </c>
      <c r="X164" s="158">
        <v>0</v>
      </c>
    </row>
    <row r="165" spans="1:25" ht="15" customHeight="1">
      <c r="A165" s="166"/>
      <c r="B165" s="146" t="s">
        <v>115</v>
      </c>
      <c r="C165" s="195"/>
      <c r="D165" s="193" t="s">
        <v>114</v>
      </c>
      <c r="E165" s="198"/>
      <c r="F165" s="146" t="s">
        <v>39</v>
      </c>
      <c r="G165" s="162"/>
      <c r="H165" s="161">
        <f t="shared" si="6"/>
        <v>286</v>
      </c>
      <c r="I165" s="192">
        <v>17</v>
      </c>
      <c r="J165" s="191">
        <v>0</v>
      </c>
      <c r="K165" s="191">
        <v>1</v>
      </c>
      <c r="L165" s="191">
        <v>10</v>
      </c>
      <c r="M165" s="191">
        <v>29</v>
      </c>
      <c r="N165" s="191">
        <v>81</v>
      </c>
      <c r="O165" s="191">
        <v>13</v>
      </c>
      <c r="P165" s="191">
        <v>9</v>
      </c>
      <c r="Q165" s="191">
        <v>100</v>
      </c>
      <c r="R165" s="191">
        <v>1</v>
      </c>
      <c r="S165" s="191">
        <v>4</v>
      </c>
      <c r="T165" s="191">
        <v>0</v>
      </c>
      <c r="U165" s="191">
        <v>7</v>
      </c>
      <c r="V165" s="191">
        <v>4</v>
      </c>
      <c r="W165" s="191">
        <v>0</v>
      </c>
      <c r="X165" s="190">
        <v>10</v>
      </c>
    </row>
    <row r="166" spans="1:25" ht="15" customHeight="1">
      <c r="A166" s="166"/>
      <c r="B166" s="363" t="s">
        <v>114</v>
      </c>
      <c r="C166" s="363"/>
      <c r="D166" s="363"/>
      <c r="E166" s="167"/>
      <c r="F166" s="146" t="s">
        <v>87</v>
      </c>
      <c r="G166" s="162"/>
      <c r="H166" s="161">
        <f t="shared" si="6"/>
        <v>123</v>
      </c>
      <c r="I166" s="189">
        <v>0</v>
      </c>
      <c r="J166" s="159">
        <v>0</v>
      </c>
      <c r="K166" s="159">
        <v>0</v>
      </c>
      <c r="L166" s="159">
        <v>0</v>
      </c>
      <c r="M166" s="159">
        <v>0</v>
      </c>
      <c r="N166" s="159">
        <v>0</v>
      </c>
      <c r="O166" s="159">
        <v>0</v>
      </c>
      <c r="P166" s="159">
        <v>0</v>
      </c>
      <c r="Q166" s="159">
        <v>0</v>
      </c>
      <c r="R166" s="159">
        <v>0</v>
      </c>
      <c r="S166" s="159">
        <v>0</v>
      </c>
      <c r="T166" s="159">
        <v>0</v>
      </c>
      <c r="U166" s="159">
        <v>0</v>
      </c>
      <c r="V166" s="159">
        <v>0</v>
      </c>
      <c r="W166" s="159">
        <v>0</v>
      </c>
      <c r="X166" s="158">
        <v>123</v>
      </c>
    </row>
    <row r="167" spans="1:25" ht="15" customHeight="1">
      <c r="A167" s="166"/>
      <c r="B167" s="146" t="s">
        <v>113</v>
      </c>
      <c r="C167" s="195"/>
      <c r="D167" s="193" t="s">
        <v>92</v>
      </c>
      <c r="E167" s="198"/>
      <c r="F167" s="146" t="s">
        <v>39</v>
      </c>
      <c r="G167" s="162"/>
      <c r="H167" s="161">
        <f t="shared" si="6"/>
        <v>210</v>
      </c>
      <c r="I167" s="192">
        <v>0</v>
      </c>
      <c r="J167" s="191">
        <v>0</v>
      </c>
      <c r="K167" s="191">
        <v>0</v>
      </c>
      <c r="L167" s="191">
        <v>26</v>
      </c>
      <c r="M167" s="191">
        <v>53</v>
      </c>
      <c r="N167" s="191">
        <v>31</v>
      </c>
      <c r="O167" s="191">
        <v>3</v>
      </c>
      <c r="P167" s="191">
        <v>23</v>
      </c>
      <c r="Q167" s="191">
        <v>49</v>
      </c>
      <c r="R167" s="191">
        <v>0</v>
      </c>
      <c r="S167" s="191">
        <v>0</v>
      </c>
      <c r="T167" s="191">
        <v>0</v>
      </c>
      <c r="U167" s="191">
        <v>2</v>
      </c>
      <c r="V167" s="191">
        <v>0</v>
      </c>
      <c r="W167" s="191">
        <v>0</v>
      </c>
      <c r="X167" s="190">
        <v>23</v>
      </c>
    </row>
    <row r="168" spans="1:25" ht="15" customHeight="1" thickBot="1">
      <c r="A168" s="157"/>
      <c r="B168" s="364" t="s">
        <v>92</v>
      </c>
      <c r="C168" s="364"/>
      <c r="D168" s="364"/>
      <c r="E168" s="156"/>
      <c r="F168" s="155" t="s">
        <v>87</v>
      </c>
      <c r="G168" s="154"/>
      <c r="H168" s="153">
        <f t="shared" si="6"/>
        <v>0</v>
      </c>
      <c r="I168" s="152">
        <v>0</v>
      </c>
      <c r="J168" s="151">
        <v>0</v>
      </c>
      <c r="K168" s="151">
        <v>0</v>
      </c>
      <c r="L168" s="151">
        <v>0</v>
      </c>
      <c r="M168" s="151">
        <v>0</v>
      </c>
      <c r="N168" s="151">
        <v>0</v>
      </c>
      <c r="O168" s="151">
        <v>0</v>
      </c>
      <c r="P168" s="151">
        <v>0</v>
      </c>
      <c r="Q168" s="151">
        <v>0</v>
      </c>
      <c r="R168" s="151">
        <v>0</v>
      </c>
      <c r="S168" s="151">
        <v>0</v>
      </c>
      <c r="T168" s="151">
        <v>0</v>
      </c>
      <c r="U168" s="151">
        <v>0</v>
      </c>
      <c r="V168" s="151">
        <v>0</v>
      </c>
      <c r="W168" s="151">
        <v>0</v>
      </c>
      <c r="X168" s="150">
        <v>0</v>
      </c>
      <c r="Y168" s="143"/>
    </row>
    <row r="169" spans="1:25" s="143" customFormat="1" ht="9.1999999999999993" customHeight="1" thickBot="1">
      <c r="A169" s="188"/>
      <c r="B169" s="187"/>
      <c r="C169" s="187"/>
      <c r="D169" s="187"/>
      <c r="E169" s="187"/>
      <c r="F169" s="187"/>
      <c r="G169" s="187"/>
      <c r="H169" s="186"/>
      <c r="I169" s="185"/>
      <c r="J169" s="185"/>
      <c r="K169" s="185"/>
      <c r="L169" s="185"/>
      <c r="M169" s="185"/>
      <c r="N169" s="185"/>
      <c r="O169" s="185"/>
      <c r="P169" s="185"/>
      <c r="Q169" s="185"/>
      <c r="R169" s="185"/>
      <c r="S169" s="185"/>
      <c r="T169" s="185"/>
      <c r="U169" s="185"/>
      <c r="V169" s="185"/>
      <c r="W169" s="185"/>
      <c r="X169" s="185"/>
    </row>
    <row r="170" spans="1:25" s="143" customFormat="1" ht="54" customHeight="1">
      <c r="A170" s="366" t="s">
        <v>91</v>
      </c>
      <c r="B170" s="367"/>
      <c r="C170" s="367"/>
      <c r="D170" s="367"/>
      <c r="E170" s="367"/>
      <c r="F170" s="367"/>
      <c r="G170" s="368"/>
      <c r="H170" s="184" t="s">
        <v>16</v>
      </c>
      <c r="I170" s="183" t="s">
        <v>15</v>
      </c>
      <c r="J170" s="181" t="s">
        <v>14</v>
      </c>
      <c r="K170" s="181" t="s">
        <v>13</v>
      </c>
      <c r="L170" s="181" t="s">
        <v>12</v>
      </c>
      <c r="M170" s="181" t="s">
        <v>11</v>
      </c>
      <c r="N170" s="181" t="s">
        <v>10</v>
      </c>
      <c r="O170" s="181" t="s">
        <v>9</v>
      </c>
      <c r="P170" s="181" t="s">
        <v>8</v>
      </c>
      <c r="Q170" s="181" t="s">
        <v>7</v>
      </c>
      <c r="R170" s="181" t="s">
        <v>6</v>
      </c>
      <c r="S170" s="182" t="s">
        <v>5</v>
      </c>
      <c r="T170" s="181" t="s">
        <v>4</v>
      </c>
      <c r="U170" s="181" t="s">
        <v>3</v>
      </c>
      <c r="V170" s="181" t="s">
        <v>2</v>
      </c>
      <c r="W170" s="181" t="s">
        <v>1</v>
      </c>
      <c r="X170" s="180" t="s">
        <v>0</v>
      </c>
    </row>
    <row r="171" spans="1:25" s="143" customFormat="1" ht="9.1999999999999993" customHeight="1" thickBot="1">
      <c r="A171" s="369"/>
      <c r="B171" s="370"/>
      <c r="C171" s="370"/>
      <c r="D171" s="370"/>
      <c r="E171" s="370"/>
      <c r="F171" s="370"/>
      <c r="G171" s="371"/>
      <c r="H171" s="179"/>
      <c r="I171" s="178"/>
      <c r="J171" s="176"/>
      <c r="K171" s="176"/>
      <c r="L171" s="176"/>
      <c r="M171" s="176"/>
      <c r="N171" s="176"/>
      <c r="O171" s="176"/>
      <c r="P171" s="176"/>
      <c r="Q171" s="176"/>
      <c r="R171" s="176"/>
      <c r="S171" s="177"/>
      <c r="T171" s="176"/>
      <c r="U171" s="176"/>
      <c r="V171" s="176"/>
      <c r="W171" s="176"/>
      <c r="X171" s="175"/>
    </row>
    <row r="172" spans="1:25" s="143" customFormat="1" ht="14.1" customHeight="1">
      <c r="A172" s="174"/>
      <c r="B172" s="365"/>
      <c r="C172" s="365"/>
      <c r="D172" s="365"/>
      <c r="E172" s="365"/>
      <c r="F172" s="365"/>
      <c r="G172" s="173"/>
      <c r="H172" s="172" t="s">
        <v>34</v>
      </c>
      <c r="I172" s="171" t="s">
        <v>34</v>
      </c>
      <c r="J172" s="170" t="s">
        <v>34</v>
      </c>
      <c r="K172" s="170" t="s">
        <v>34</v>
      </c>
      <c r="L172" s="170" t="s">
        <v>34</v>
      </c>
      <c r="M172" s="170" t="s">
        <v>34</v>
      </c>
      <c r="N172" s="170" t="s">
        <v>34</v>
      </c>
      <c r="O172" s="170" t="s">
        <v>34</v>
      </c>
      <c r="P172" s="170" t="s">
        <v>34</v>
      </c>
      <c r="Q172" s="170" t="s">
        <v>34</v>
      </c>
      <c r="R172" s="170" t="s">
        <v>34</v>
      </c>
      <c r="S172" s="170" t="s">
        <v>34</v>
      </c>
      <c r="T172" s="170" t="s">
        <v>34</v>
      </c>
      <c r="U172" s="170" t="s">
        <v>34</v>
      </c>
      <c r="V172" s="170" t="s">
        <v>34</v>
      </c>
      <c r="W172" s="170" t="s">
        <v>34</v>
      </c>
      <c r="X172" s="169" t="s">
        <v>34</v>
      </c>
      <c r="Y172" s="140"/>
    </row>
    <row r="173" spans="1:25" ht="15" customHeight="1">
      <c r="A173" s="166"/>
      <c r="B173" s="146" t="s">
        <v>112</v>
      </c>
      <c r="C173" s="195"/>
      <c r="D173" s="194" t="s">
        <v>111</v>
      </c>
      <c r="E173" s="198"/>
      <c r="F173" s="146" t="s">
        <v>39</v>
      </c>
      <c r="G173" s="162"/>
      <c r="H173" s="161">
        <f t="shared" ref="H173:H204" si="7">SUM(I173:X173)</f>
        <v>88</v>
      </c>
      <c r="I173" s="192">
        <v>5</v>
      </c>
      <c r="J173" s="191">
        <v>0</v>
      </c>
      <c r="K173" s="191">
        <v>0</v>
      </c>
      <c r="L173" s="191">
        <v>4</v>
      </c>
      <c r="M173" s="191">
        <v>9</v>
      </c>
      <c r="N173" s="191">
        <v>40</v>
      </c>
      <c r="O173" s="191">
        <v>2</v>
      </c>
      <c r="P173" s="191">
        <v>0</v>
      </c>
      <c r="Q173" s="191">
        <v>23</v>
      </c>
      <c r="R173" s="191">
        <v>2</v>
      </c>
      <c r="S173" s="191">
        <v>0</v>
      </c>
      <c r="T173" s="191">
        <v>0</v>
      </c>
      <c r="U173" s="191">
        <v>1</v>
      </c>
      <c r="V173" s="191">
        <v>0</v>
      </c>
      <c r="W173" s="191">
        <v>0</v>
      </c>
      <c r="X173" s="190">
        <v>2</v>
      </c>
    </row>
    <row r="174" spans="1:25" ht="15" customHeight="1">
      <c r="A174" s="166"/>
      <c r="B174" s="363" t="s">
        <v>101</v>
      </c>
      <c r="C174" s="363"/>
      <c r="D174" s="363"/>
      <c r="E174" s="167"/>
      <c r="F174" s="146" t="s">
        <v>87</v>
      </c>
      <c r="G174" s="162"/>
      <c r="H174" s="161">
        <f t="shared" si="7"/>
        <v>0</v>
      </c>
      <c r="I174" s="189">
        <v>0</v>
      </c>
      <c r="J174" s="159">
        <v>0</v>
      </c>
      <c r="K174" s="159">
        <v>0</v>
      </c>
      <c r="L174" s="159">
        <v>0</v>
      </c>
      <c r="M174" s="159">
        <v>0</v>
      </c>
      <c r="N174" s="159">
        <v>0</v>
      </c>
      <c r="O174" s="159">
        <v>0</v>
      </c>
      <c r="P174" s="159">
        <v>0</v>
      </c>
      <c r="Q174" s="159">
        <v>0</v>
      </c>
      <c r="R174" s="159">
        <v>0</v>
      </c>
      <c r="S174" s="159">
        <v>0</v>
      </c>
      <c r="T174" s="159">
        <v>0</v>
      </c>
      <c r="U174" s="159">
        <v>0</v>
      </c>
      <c r="V174" s="159">
        <v>0</v>
      </c>
      <c r="W174" s="159">
        <v>0</v>
      </c>
      <c r="X174" s="158">
        <v>0</v>
      </c>
    </row>
    <row r="175" spans="1:25" ht="15" customHeight="1">
      <c r="A175" s="166"/>
      <c r="B175" s="146" t="s">
        <v>110</v>
      </c>
      <c r="C175" s="195"/>
      <c r="D175" s="193" t="s">
        <v>105</v>
      </c>
      <c r="E175" s="198"/>
      <c r="F175" s="146" t="s">
        <v>39</v>
      </c>
      <c r="G175" s="162"/>
      <c r="H175" s="161">
        <f t="shared" si="7"/>
        <v>120</v>
      </c>
      <c r="I175" s="192">
        <v>2</v>
      </c>
      <c r="J175" s="191">
        <v>0</v>
      </c>
      <c r="K175" s="191">
        <v>0</v>
      </c>
      <c r="L175" s="191">
        <v>7</v>
      </c>
      <c r="M175" s="191">
        <v>8</v>
      </c>
      <c r="N175" s="191">
        <v>30</v>
      </c>
      <c r="O175" s="191">
        <v>0</v>
      </c>
      <c r="P175" s="191">
        <v>0</v>
      </c>
      <c r="Q175" s="191">
        <v>8</v>
      </c>
      <c r="R175" s="191">
        <v>0</v>
      </c>
      <c r="S175" s="191">
        <v>0</v>
      </c>
      <c r="T175" s="191">
        <v>0</v>
      </c>
      <c r="U175" s="191">
        <v>10</v>
      </c>
      <c r="V175" s="191">
        <v>0</v>
      </c>
      <c r="W175" s="191">
        <v>0</v>
      </c>
      <c r="X175" s="190">
        <v>55</v>
      </c>
    </row>
    <row r="176" spans="1:25" ht="15" customHeight="1">
      <c r="A176" s="166"/>
      <c r="B176" s="363" t="s">
        <v>105</v>
      </c>
      <c r="C176" s="363"/>
      <c r="D176" s="363"/>
      <c r="E176" s="167"/>
      <c r="F176" s="146" t="s">
        <v>87</v>
      </c>
      <c r="G176" s="162"/>
      <c r="H176" s="161">
        <f t="shared" si="7"/>
        <v>0</v>
      </c>
      <c r="I176" s="189">
        <v>0</v>
      </c>
      <c r="J176" s="159">
        <v>0</v>
      </c>
      <c r="K176" s="159">
        <v>0</v>
      </c>
      <c r="L176" s="159">
        <v>0</v>
      </c>
      <c r="M176" s="159">
        <v>0</v>
      </c>
      <c r="N176" s="159">
        <v>0</v>
      </c>
      <c r="O176" s="159">
        <v>0</v>
      </c>
      <c r="P176" s="159">
        <v>0</v>
      </c>
      <c r="Q176" s="159">
        <v>0</v>
      </c>
      <c r="R176" s="159">
        <v>0</v>
      </c>
      <c r="S176" s="159">
        <v>0</v>
      </c>
      <c r="T176" s="159">
        <v>0</v>
      </c>
      <c r="U176" s="159">
        <v>0</v>
      </c>
      <c r="V176" s="159">
        <v>0</v>
      </c>
      <c r="W176" s="159">
        <v>0</v>
      </c>
      <c r="X176" s="158">
        <v>0</v>
      </c>
    </row>
    <row r="177" spans="1:24" ht="15" customHeight="1">
      <c r="A177" s="166"/>
      <c r="B177" s="146" t="s">
        <v>109</v>
      </c>
      <c r="C177" s="165"/>
      <c r="D177" s="193" t="s">
        <v>105</v>
      </c>
      <c r="E177" s="198"/>
      <c r="F177" s="146" t="s">
        <v>39</v>
      </c>
      <c r="G177" s="162"/>
      <c r="H177" s="161">
        <f t="shared" si="7"/>
        <v>16</v>
      </c>
      <c r="I177" s="192">
        <v>3</v>
      </c>
      <c r="J177" s="191">
        <v>0</v>
      </c>
      <c r="K177" s="191">
        <v>0</v>
      </c>
      <c r="L177" s="191">
        <v>1</v>
      </c>
      <c r="M177" s="191">
        <v>0</v>
      </c>
      <c r="N177" s="191">
        <v>3</v>
      </c>
      <c r="O177" s="191">
        <v>0</v>
      </c>
      <c r="P177" s="191">
        <v>0</v>
      </c>
      <c r="Q177" s="191">
        <v>0</v>
      </c>
      <c r="R177" s="191">
        <v>0</v>
      </c>
      <c r="S177" s="191">
        <v>1</v>
      </c>
      <c r="T177" s="191">
        <v>0</v>
      </c>
      <c r="U177" s="191">
        <v>0</v>
      </c>
      <c r="V177" s="191">
        <v>0</v>
      </c>
      <c r="W177" s="191">
        <v>0</v>
      </c>
      <c r="X177" s="190">
        <v>8</v>
      </c>
    </row>
    <row r="178" spans="1:24" ht="15" customHeight="1">
      <c r="A178" s="166"/>
      <c r="B178" s="363" t="s">
        <v>105</v>
      </c>
      <c r="C178" s="363"/>
      <c r="D178" s="363"/>
      <c r="E178" s="167"/>
      <c r="F178" s="146" t="s">
        <v>87</v>
      </c>
      <c r="G178" s="162"/>
      <c r="H178" s="161">
        <f t="shared" si="7"/>
        <v>0</v>
      </c>
      <c r="I178" s="189">
        <v>0</v>
      </c>
      <c r="J178" s="159">
        <v>0</v>
      </c>
      <c r="K178" s="159">
        <v>0</v>
      </c>
      <c r="L178" s="159">
        <v>0</v>
      </c>
      <c r="M178" s="159">
        <v>0</v>
      </c>
      <c r="N178" s="159">
        <v>0</v>
      </c>
      <c r="O178" s="159">
        <v>0</v>
      </c>
      <c r="P178" s="159">
        <v>0</v>
      </c>
      <c r="Q178" s="159">
        <v>0</v>
      </c>
      <c r="R178" s="159">
        <v>0</v>
      </c>
      <c r="S178" s="159">
        <v>0</v>
      </c>
      <c r="T178" s="159">
        <v>0</v>
      </c>
      <c r="U178" s="159">
        <v>0</v>
      </c>
      <c r="V178" s="159">
        <v>0</v>
      </c>
      <c r="W178" s="159">
        <v>0</v>
      </c>
      <c r="X178" s="158">
        <v>0</v>
      </c>
    </row>
    <row r="179" spans="1:24" ht="15" customHeight="1">
      <c r="A179" s="166"/>
      <c r="B179" s="146" t="s">
        <v>108</v>
      </c>
      <c r="C179" s="195"/>
      <c r="D179" s="193" t="s">
        <v>105</v>
      </c>
      <c r="E179" s="198"/>
      <c r="F179" s="146" t="s">
        <v>39</v>
      </c>
      <c r="G179" s="162"/>
      <c r="H179" s="161">
        <f t="shared" si="7"/>
        <v>63</v>
      </c>
      <c r="I179" s="192">
        <v>2</v>
      </c>
      <c r="J179" s="191">
        <v>0</v>
      </c>
      <c r="K179" s="191">
        <v>0</v>
      </c>
      <c r="L179" s="191">
        <v>1</v>
      </c>
      <c r="M179" s="191">
        <v>40</v>
      </c>
      <c r="N179" s="191">
        <v>5</v>
      </c>
      <c r="O179" s="191">
        <v>0</v>
      </c>
      <c r="P179" s="191">
        <v>2</v>
      </c>
      <c r="Q179" s="191">
        <v>2</v>
      </c>
      <c r="R179" s="191">
        <v>0</v>
      </c>
      <c r="S179" s="191">
        <v>4</v>
      </c>
      <c r="T179" s="191">
        <v>0</v>
      </c>
      <c r="U179" s="191">
        <v>0</v>
      </c>
      <c r="V179" s="191">
        <v>0</v>
      </c>
      <c r="W179" s="191">
        <v>0</v>
      </c>
      <c r="X179" s="190">
        <v>7</v>
      </c>
    </row>
    <row r="180" spans="1:24" ht="15" customHeight="1">
      <c r="A180" s="166"/>
      <c r="B180" s="363" t="s">
        <v>105</v>
      </c>
      <c r="C180" s="363"/>
      <c r="D180" s="363"/>
      <c r="E180" s="167"/>
      <c r="F180" s="146" t="s">
        <v>87</v>
      </c>
      <c r="G180" s="162"/>
      <c r="H180" s="161">
        <f t="shared" si="7"/>
        <v>0</v>
      </c>
      <c r="I180" s="189">
        <v>0</v>
      </c>
      <c r="J180" s="159">
        <v>0</v>
      </c>
      <c r="K180" s="159">
        <v>0</v>
      </c>
      <c r="L180" s="159">
        <v>0</v>
      </c>
      <c r="M180" s="159">
        <v>0</v>
      </c>
      <c r="N180" s="159">
        <v>0</v>
      </c>
      <c r="O180" s="159">
        <v>0</v>
      </c>
      <c r="P180" s="159">
        <v>0</v>
      </c>
      <c r="Q180" s="159">
        <v>0</v>
      </c>
      <c r="R180" s="159">
        <v>0</v>
      </c>
      <c r="S180" s="159">
        <v>0</v>
      </c>
      <c r="T180" s="159">
        <v>0</v>
      </c>
      <c r="U180" s="159">
        <v>0</v>
      </c>
      <c r="V180" s="159">
        <v>0</v>
      </c>
      <c r="W180" s="159">
        <v>0</v>
      </c>
      <c r="X180" s="158">
        <v>0</v>
      </c>
    </row>
    <row r="181" spans="1:24" ht="15" customHeight="1">
      <c r="A181" s="166"/>
      <c r="B181" s="146" t="s">
        <v>107</v>
      </c>
      <c r="C181" s="165"/>
      <c r="D181" s="193" t="s">
        <v>105</v>
      </c>
      <c r="E181" s="198"/>
      <c r="F181" s="146" t="s">
        <v>39</v>
      </c>
      <c r="G181" s="162"/>
      <c r="H181" s="161">
        <f t="shared" si="7"/>
        <v>77</v>
      </c>
      <c r="I181" s="192">
        <v>0</v>
      </c>
      <c r="J181" s="191">
        <v>0</v>
      </c>
      <c r="K181" s="191">
        <v>0</v>
      </c>
      <c r="L181" s="191">
        <v>2</v>
      </c>
      <c r="M181" s="191">
        <v>31</v>
      </c>
      <c r="N181" s="191">
        <v>4</v>
      </c>
      <c r="O181" s="191">
        <v>2</v>
      </c>
      <c r="P181" s="191">
        <v>0</v>
      </c>
      <c r="Q181" s="191">
        <v>0</v>
      </c>
      <c r="R181" s="191">
        <v>0</v>
      </c>
      <c r="S181" s="191">
        <v>3</v>
      </c>
      <c r="T181" s="191">
        <v>0</v>
      </c>
      <c r="U181" s="191">
        <v>0</v>
      </c>
      <c r="V181" s="191">
        <v>0</v>
      </c>
      <c r="W181" s="191">
        <v>0</v>
      </c>
      <c r="X181" s="190">
        <v>35</v>
      </c>
    </row>
    <row r="182" spans="1:24" ht="15" customHeight="1">
      <c r="A182" s="166"/>
      <c r="B182" s="363" t="s">
        <v>105</v>
      </c>
      <c r="C182" s="363"/>
      <c r="D182" s="363"/>
      <c r="E182" s="167"/>
      <c r="F182" s="146" t="s">
        <v>87</v>
      </c>
      <c r="G182" s="162"/>
      <c r="H182" s="161">
        <f t="shared" si="7"/>
        <v>0</v>
      </c>
      <c r="I182" s="189">
        <v>0</v>
      </c>
      <c r="J182" s="159">
        <v>0</v>
      </c>
      <c r="K182" s="159">
        <v>0</v>
      </c>
      <c r="L182" s="159">
        <v>0</v>
      </c>
      <c r="M182" s="159">
        <v>0</v>
      </c>
      <c r="N182" s="159">
        <v>0</v>
      </c>
      <c r="O182" s="159">
        <v>0</v>
      </c>
      <c r="P182" s="159">
        <v>0</v>
      </c>
      <c r="Q182" s="159">
        <v>0</v>
      </c>
      <c r="R182" s="159">
        <v>0</v>
      </c>
      <c r="S182" s="159">
        <v>0</v>
      </c>
      <c r="T182" s="159">
        <v>0</v>
      </c>
      <c r="U182" s="159">
        <v>0</v>
      </c>
      <c r="V182" s="159">
        <v>0</v>
      </c>
      <c r="W182" s="159">
        <v>0</v>
      </c>
      <c r="X182" s="158">
        <v>0</v>
      </c>
    </row>
    <row r="183" spans="1:24" ht="15" customHeight="1">
      <c r="A183" s="166"/>
      <c r="B183" s="146" t="s">
        <v>106</v>
      </c>
      <c r="C183" s="195"/>
      <c r="D183" s="193" t="s">
        <v>105</v>
      </c>
      <c r="E183" s="198"/>
      <c r="F183" s="146" t="s">
        <v>39</v>
      </c>
      <c r="G183" s="162"/>
      <c r="H183" s="161">
        <f t="shared" si="7"/>
        <v>1</v>
      </c>
      <c r="I183" s="192">
        <v>0</v>
      </c>
      <c r="J183" s="191">
        <v>0</v>
      </c>
      <c r="K183" s="191">
        <v>0</v>
      </c>
      <c r="L183" s="191">
        <v>0</v>
      </c>
      <c r="M183" s="191">
        <v>0</v>
      </c>
      <c r="N183" s="191">
        <v>0</v>
      </c>
      <c r="O183" s="191">
        <v>0</v>
      </c>
      <c r="P183" s="191">
        <v>0</v>
      </c>
      <c r="Q183" s="191">
        <v>0</v>
      </c>
      <c r="R183" s="191">
        <v>0</v>
      </c>
      <c r="S183" s="191">
        <v>0</v>
      </c>
      <c r="T183" s="191">
        <v>0</v>
      </c>
      <c r="U183" s="191">
        <v>0</v>
      </c>
      <c r="V183" s="191">
        <v>0</v>
      </c>
      <c r="W183" s="191">
        <v>0</v>
      </c>
      <c r="X183" s="190">
        <v>1</v>
      </c>
    </row>
    <row r="184" spans="1:24" ht="15" customHeight="1">
      <c r="A184" s="166"/>
      <c r="B184" s="363" t="s">
        <v>105</v>
      </c>
      <c r="C184" s="363"/>
      <c r="D184" s="363"/>
      <c r="E184" s="167"/>
      <c r="F184" s="146" t="s">
        <v>87</v>
      </c>
      <c r="G184" s="162"/>
      <c r="H184" s="161">
        <f t="shared" si="7"/>
        <v>0</v>
      </c>
      <c r="I184" s="189">
        <v>0</v>
      </c>
      <c r="J184" s="159">
        <v>0</v>
      </c>
      <c r="K184" s="159">
        <v>0</v>
      </c>
      <c r="L184" s="159">
        <v>0</v>
      </c>
      <c r="M184" s="159">
        <v>0</v>
      </c>
      <c r="N184" s="159">
        <v>0</v>
      </c>
      <c r="O184" s="159">
        <v>0</v>
      </c>
      <c r="P184" s="159">
        <v>0</v>
      </c>
      <c r="Q184" s="159">
        <v>0</v>
      </c>
      <c r="R184" s="159">
        <v>0</v>
      </c>
      <c r="S184" s="159">
        <v>0</v>
      </c>
      <c r="T184" s="159">
        <v>0</v>
      </c>
      <c r="U184" s="159">
        <v>0</v>
      </c>
      <c r="V184" s="159">
        <v>0</v>
      </c>
      <c r="W184" s="159">
        <v>0</v>
      </c>
      <c r="X184" s="158">
        <v>0</v>
      </c>
    </row>
    <row r="185" spans="1:24" ht="15" customHeight="1">
      <c r="A185" s="166"/>
      <c r="B185" s="146" t="s">
        <v>104</v>
      </c>
      <c r="C185" s="195"/>
      <c r="D185" s="193" t="s">
        <v>101</v>
      </c>
      <c r="E185" s="198"/>
      <c r="F185" s="146" t="s">
        <v>39</v>
      </c>
      <c r="G185" s="162"/>
      <c r="H185" s="161">
        <f t="shared" si="7"/>
        <v>59</v>
      </c>
      <c r="I185" s="192">
        <v>0</v>
      </c>
      <c r="J185" s="191">
        <v>0</v>
      </c>
      <c r="K185" s="191">
        <v>0</v>
      </c>
      <c r="L185" s="191">
        <v>0</v>
      </c>
      <c r="M185" s="191">
        <v>19</v>
      </c>
      <c r="N185" s="191">
        <v>14</v>
      </c>
      <c r="O185" s="191">
        <v>0</v>
      </c>
      <c r="P185" s="191">
        <v>0</v>
      </c>
      <c r="Q185" s="191">
        <v>5</v>
      </c>
      <c r="R185" s="191">
        <v>0</v>
      </c>
      <c r="S185" s="191">
        <v>2</v>
      </c>
      <c r="T185" s="191">
        <v>0</v>
      </c>
      <c r="U185" s="191">
        <v>0</v>
      </c>
      <c r="V185" s="191">
        <v>0</v>
      </c>
      <c r="W185" s="191">
        <v>0</v>
      </c>
      <c r="X185" s="190">
        <v>19</v>
      </c>
    </row>
    <row r="186" spans="1:24" ht="15" customHeight="1">
      <c r="A186" s="166"/>
      <c r="B186" s="363" t="s">
        <v>101</v>
      </c>
      <c r="C186" s="363"/>
      <c r="D186" s="363"/>
      <c r="E186" s="167"/>
      <c r="F186" s="146" t="s">
        <v>87</v>
      </c>
      <c r="G186" s="162"/>
      <c r="H186" s="161">
        <f t="shared" si="7"/>
        <v>0</v>
      </c>
      <c r="I186" s="189">
        <v>0</v>
      </c>
      <c r="J186" s="159">
        <v>0</v>
      </c>
      <c r="K186" s="159">
        <v>0</v>
      </c>
      <c r="L186" s="159">
        <v>0</v>
      </c>
      <c r="M186" s="159">
        <v>0</v>
      </c>
      <c r="N186" s="159">
        <v>0</v>
      </c>
      <c r="O186" s="159">
        <v>0</v>
      </c>
      <c r="P186" s="159">
        <v>0</v>
      </c>
      <c r="Q186" s="159">
        <v>0</v>
      </c>
      <c r="R186" s="159">
        <v>0</v>
      </c>
      <c r="S186" s="159">
        <v>0</v>
      </c>
      <c r="T186" s="159">
        <v>0</v>
      </c>
      <c r="U186" s="159">
        <v>0</v>
      </c>
      <c r="V186" s="159">
        <v>0</v>
      </c>
      <c r="W186" s="159">
        <v>0</v>
      </c>
      <c r="X186" s="158">
        <v>0</v>
      </c>
    </row>
    <row r="187" spans="1:24" ht="15" customHeight="1">
      <c r="A187" s="166"/>
      <c r="B187" s="146" t="s">
        <v>103</v>
      </c>
      <c r="C187" s="197"/>
      <c r="D187" s="193" t="s">
        <v>101</v>
      </c>
      <c r="E187" s="196"/>
      <c r="F187" s="146" t="s">
        <v>39</v>
      </c>
      <c r="G187" s="162"/>
      <c r="H187" s="161">
        <f t="shared" si="7"/>
        <v>427</v>
      </c>
      <c r="I187" s="192">
        <v>2</v>
      </c>
      <c r="J187" s="191">
        <v>0</v>
      </c>
      <c r="K187" s="191">
        <v>0</v>
      </c>
      <c r="L187" s="191">
        <v>39</v>
      </c>
      <c r="M187" s="191">
        <v>260</v>
      </c>
      <c r="N187" s="191">
        <v>57</v>
      </c>
      <c r="O187" s="191">
        <v>3</v>
      </c>
      <c r="P187" s="191">
        <v>0</v>
      </c>
      <c r="Q187" s="191">
        <v>9</v>
      </c>
      <c r="R187" s="191">
        <v>0</v>
      </c>
      <c r="S187" s="191">
        <v>4</v>
      </c>
      <c r="T187" s="191">
        <v>0</v>
      </c>
      <c r="U187" s="191">
        <v>6</v>
      </c>
      <c r="V187" s="191">
        <v>0</v>
      </c>
      <c r="W187" s="191">
        <v>0</v>
      </c>
      <c r="X187" s="190">
        <v>47</v>
      </c>
    </row>
    <row r="188" spans="1:24" ht="15" customHeight="1">
      <c r="A188" s="166"/>
      <c r="B188" s="363" t="s">
        <v>101</v>
      </c>
      <c r="C188" s="363"/>
      <c r="D188" s="363"/>
      <c r="E188" s="196"/>
      <c r="F188" s="146" t="s">
        <v>87</v>
      </c>
      <c r="G188" s="162"/>
      <c r="H188" s="161">
        <f t="shared" si="7"/>
        <v>0</v>
      </c>
      <c r="I188" s="189">
        <v>0</v>
      </c>
      <c r="J188" s="159">
        <v>0</v>
      </c>
      <c r="K188" s="159">
        <v>0</v>
      </c>
      <c r="L188" s="159">
        <v>0</v>
      </c>
      <c r="M188" s="159">
        <v>0</v>
      </c>
      <c r="N188" s="159">
        <v>0</v>
      </c>
      <c r="O188" s="159">
        <v>0</v>
      </c>
      <c r="P188" s="159">
        <v>0</v>
      </c>
      <c r="Q188" s="159">
        <v>0</v>
      </c>
      <c r="R188" s="159">
        <v>0</v>
      </c>
      <c r="S188" s="159">
        <v>0</v>
      </c>
      <c r="T188" s="159">
        <v>0</v>
      </c>
      <c r="U188" s="159">
        <v>0</v>
      </c>
      <c r="V188" s="159">
        <v>0</v>
      </c>
      <c r="W188" s="159">
        <v>0</v>
      </c>
      <c r="X188" s="158">
        <v>0</v>
      </c>
    </row>
    <row r="189" spans="1:24" ht="15" customHeight="1">
      <c r="A189" s="166"/>
      <c r="B189" s="146" t="s">
        <v>102</v>
      </c>
      <c r="C189" s="195"/>
      <c r="D189" s="193" t="s">
        <v>101</v>
      </c>
      <c r="E189" s="194"/>
      <c r="F189" s="146" t="s">
        <v>39</v>
      </c>
      <c r="G189" s="162"/>
      <c r="H189" s="161">
        <f t="shared" si="7"/>
        <v>109</v>
      </c>
      <c r="I189" s="192">
        <v>1</v>
      </c>
      <c r="J189" s="191">
        <v>0</v>
      </c>
      <c r="K189" s="191">
        <v>0</v>
      </c>
      <c r="L189" s="191">
        <v>5</v>
      </c>
      <c r="M189" s="191">
        <v>38</v>
      </c>
      <c r="N189" s="191">
        <v>15</v>
      </c>
      <c r="O189" s="191">
        <v>8</v>
      </c>
      <c r="P189" s="191">
        <v>2</v>
      </c>
      <c r="Q189" s="191">
        <v>30</v>
      </c>
      <c r="R189" s="191">
        <v>0</v>
      </c>
      <c r="S189" s="191">
        <v>0</v>
      </c>
      <c r="T189" s="191">
        <v>0</v>
      </c>
      <c r="U189" s="191">
        <v>0</v>
      </c>
      <c r="V189" s="191">
        <v>0</v>
      </c>
      <c r="W189" s="191">
        <v>0</v>
      </c>
      <c r="X189" s="190">
        <v>10</v>
      </c>
    </row>
    <row r="190" spans="1:24" ht="15" customHeight="1">
      <c r="A190" s="166"/>
      <c r="B190" s="363" t="s">
        <v>101</v>
      </c>
      <c r="C190" s="363"/>
      <c r="D190" s="363"/>
      <c r="E190" s="167"/>
      <c r="F190" s="146" t="s">
        <v>87</v>
      </c>
      <c r="G190" s="162"/>
      <c r="H190" s="161">
        <f t="shared" si="7"/>
        <v>0</v>
      </c>
      <c r="I190" s="189">
        <v>0</v>
      </c>
      <c r="J190" s="159">
        <v>0</v>
      </c>
      <c r="K190" s="159">
        <v>0</v>
      </c>
      <c r="L190" s="159">
        <v>0</v>
      </c>
      <c r="M190" s="159">
        <v>0</v>
      </c>
      <c r="N190" s="159">
        <v>0</v>
      </c>
      <c r="O190" s="159">
        <v>0</v>
      </c>
      <c r="P190" s="159">
        <v>0</v>
      </c>
      <c r="Q190" s="159">
        <v>0</v>
      </c>
      <c r="R190" s="159">
        <v>0</v>
      </c>
      <c r="S190" s="159">
        <v>0</v>
      </c>
      <c r="T190" s="159">
        <v>0</v>
      </c>
      <c r="U190" s="159">
        <v>0</v>
      </c>
      <c r="V190" s="159">
        <v>0</v>
      </c>
      <c r="W190" s="159">
        <v>0</v>
      </c>
      <c r="X190" s="158">
        <v>0</v>
      </c>
    </row>
    <row r="191" spans="1:24" ht="15" customHeight="1">
      <c r="A191" s="166"/>
      <c r="B191" s="146" t="s">
        <v>100</v>
      </c>
      <c r="C191" s="195"/>
      <c r="D191" s="193" t="s">
        <v>92</v>
      </c>
      <c r="E191" s="194"/>
      <c r="F191" s="146" t="s">
        <v>39</v>
      </c>
      <c r="G191" s="162"/>
      <c r="H191" s="161">
        <f t="shared" si="7"/>
        <v>171</v>
      </c>
      <c r="I191" s="192">
        <v>2</v>
      </c>
      <c r="J191" s="191">
        <v>0</v>
      </c>
      <c r="K191" s="191">
        <v>0</v>
      </c>
      <c r="L191" s="191">
        <v>3</v>
      </c>
      <c r="M191" s="191">
        <v>25</v>
      </c>
      <c r="N191" s="191">
        <v>81</v>
      </c>
      <c r="O191" s="191">
        <v>9</v>
      </c>
      <c r="P191" s="191">
        <v>3</v>
      </c>
      <c r="Q191" s="191">
        <v>18</v>
      </c>
      <c r="R191" s="191">
        <v>0</v>
      </c>
      <c r="S191" s="191">
        <v>19</v>
      </c>
      <c r="T191" s="191">
        <v>0</v>
      </c>
      <c r="U191" s="191">
        <v>1</v>
      </c>
      <c r="V191" s="191">
        <v>0</v>
      </c>
      <c r="W191" s="191">
        <v>0</v>
      </c>
      <c r="X191" s="190">
        <v>10</v>
      </c>
    </row>
    <row r="192" spans="1:24" ht="15" customHeight="1">
      <c r="A192" s="166"/>
      <c r="B192" s="363" t="s">
        <v>92</v>
      </c>
      <c r="C192" s="363"/>
      <c r="D192" s="363"/>
      <c r="E192" s="167"/>
      <c r="F192" s="146" t="s">
        <v>87</v>
      </c>
      <c r="G192" s="162"/>
      <c r="H192" s="161">
        <f t="shared" si="7"/>
        <v>6</v>
      </c>
      <c r="I192" s="189">
        <v>0</v>
      </c>
      <c r="J192" s="159">
        <v>0</v>
      </c>
      <c r="K192" s="159">
        <v>0</v>
      </c>
      <c r="L192" s="159">
        <v>0</v>
      </c>
      <c r="M192" s="159">
        <v>0</v>
      </c>
      <c r="N192" s="159">
        <v>0</v>
      </c>
      <c r="O192" s="159">
        <v>0</v>
      </c>
      <c r="P192" s="159">
        <v>0</v>
      </c>
      <c r="Q192" s="159">
        <v>0</v>
      </c>
      <c r="R192" s="159">
        <v>0</v>
      </c>
      <c r="S192" s="159">
        <v>6</v>
      </c>
      <c r="T192" s="159">
        <v>0</v>
      </c>
      <c r="U192" s="159">
        <v>0</v>
      </c>
      <c r="V192" s="159">
        <v>0</v>
      </c>
      <c r="W192" s="159">
        <v>0</v>
      </c>
      <c r="X192" s="158">
        <v>0</v>
      </c>
    </row>
    <row r="193" spans="1:25" ht="15" customHeight="1">
      <c r="A193" s="166"/>
      <c r="B193" s="146" t="s">
        <v>99</v>
      </c>
      <c r="C193" s="168"/>
      <c r="D193" s="193" t="s">
        <v>92</v>
      </c>
      <c r="E193" s="167"/>
      <c r="F193" s="146" t="s">
        <v>39</v>
      </c>
      <c r="G193" s="162"/>
      <c r="H193" s="161">
        <f t="shared" si="7"/>
        <v>27</v>
      </c>
      <c r="I193" s="192">
        <v>2</v>
      </c>
      <c r="J193" s="191">
        <v>0</v>
      </c>
      <c r="K193" s="191">
        <v>1</v>
      </c>
      <c r="L193" s="191">
        <v>5</v>
      </c>
      <c r="M193" s="191">
        <v>0</v>
      </c>
      <c r="N193" s="191">
        <v>10</v>
      </c>
      <c r="O193" s="191">
        <v>2</v>
      </c>
      <c r="P193" s="191">
        <v>0</v>
      </c>
      <c r="Q193" s="191">
        <v>6</v>
      </c>
      <c r="R193" s="191">
        <v>0</v>
      </c>
      <c r="S193" s="191">
        <v>1</v>
      </c>
      <c r="T193" s="191">
        <v>0</v>
      </c>
      <c r="U193" s="191">
        <v>0</v>
      </c>
      <c r="V193" s="191">
        <v>0</v>
      </c>
      <c r="W193" s="191">
        <v>0</v>
      </c>
      <c r="X193" s="190">
        <v>0</v>
      </c>
    </row>
    <row r="194" spans="1:25" ht="15" customHeight="1">
      <c r="A194" s="166"/>
      <c r="B194" s="363" t="s">
        <v>92</v>
      </c>
      <c r="C194" s="363"/>
      <c r="D194" s="363"/>
      <c r="E194" s="167"/>
      <c r="F194" s="146" t="s">
        <v>87</v>
      </c>
      <c r="G194" s="162"/>
      <c r="H194" s="161">
        <f t="shared" si="7"/>
        <v>0</v>
      </c>
      <c r="I194" s="189">
        <v>0</v>
      </c>
      <c r="J194" s="159">
        <v>0</v>
      </c>
      <c r="K194" s="159">
        <v>0</v>
      </c>
      <c r="L194" s="159">
        <v>0</v>
      </c>
      <c r="M194" s="159">
        <v>0</v>
      </c>
      <c r="N194" s="159">
        <v>0</v>
      </c>
      <c r="O194" s="159">
        <v>0</v>
      </c>
      <c r="P194" s="159">
        <v>0</v>
      </c>
      <c r="Q194" s="159">
        <v>0</v>
      </c>
      <c r="R194" s="159">
        <v>0</v>
      </c>
      <c r="S194" s="159">
        <v>0</v>
      </c>
      <c r="T194" s="159">
        <v>0</v>
      </c>
      <c r="U194" s="159">
        <v>0</v>
      </c>
      <c r="V194" s="159">
        <v>0</v>
      </c>
      <c r="W194" s="159">
        <v>0</v>
      </c>
      <c r="X194" s="158">
        <v>0</v>
      </c>
    </row>
    <row r="195" spans="1:25" ht="15" customHeight="1">
      <c r="A195" s="166"/>
      <c r="B195" s="146" t="s">
        <v>98</v>
      </c>
      <c r="C195" s="165"/>
      <c r="D195" s="146" t="s">
        <v>89</v>
      </c>
      <c r="E195" s="146"/>
      <c r="F195" s="146" t="s">
        <v>39</v>
      </c>
      <c r="G195" s="162"/>
      <c r="H195" s="161">
        <f t="shared" si="7"/>
        <v>199499</v>
      </c>
      <c r="I195" s="160">
        <v>0</v>
      </c>
      <c r="J195" s="159">
        <v>0</v>
      </c>
      <c r="K195" s="159">
        <v>2</v>
      </c>
      <c r="L195" s="159">
        <v>1151</v>
      </c>
      <c r="M195" s="159">
        <v>9</v>
      </c>
      <c r="N195" s="159">
        <v>0</v>
      </c>
      <c r="O195" s="159">
        <v>0</v>
      </c>
      <c r="P195" s="159">
        <v>28</v>
      </c>
      <c r="Q195" s="159">
        <v>0</v>
      </c>
      <c r="R195" s="159">
        <v>17522</v>
      </c>
      <c r="S195" s="159">
        <v>27</v>
      </c>
      <c r="T195" s="159">
        <v>12</v>
      </c>
      <c r="U195" s="159">
        <v>206</v>
      </c>
      <c r="V195" s="159">
        <v>0</v>
      </c>
      <c r="W195" s="159">
        <v>0</v>
      </c>
      <c r="X195" s="158">
        <v>180542</v>
      </c>
    </row>
    <row r="196" spans="1:25" ht="15" customHeight="1">
      <c r="A196" s="166"/>
      <c r="B196" s="363" t="s">
        <v>92</v>
      </c>
      <c r="C196" s="363"/>
      <c r="D196" s="363"/>
      <c r="E196" s="167"/>
      <c r="F196" s="146" t="s">
        <v>87</v>
      </c>
      <c r="G196" s="162"/>
      <c r="H196" s="161">
        <f t="shared" si="7"/>
        <v>396882</v>
      </c>
      <c r="I196" s="189">
        <v>80695</v>
      </c>
      <c r="J196" s="159">
        <v>0</v>
      </c>
      <c r="K196" s="159">
        <v>1</v>
      </c>
      <c r="L196" s="159">
        <v>8401</v>
      </c>
      <c r="M196" s="159">
        <v>9</v>
      </c>
      <c r="N196" s="159">
        <v>0</v>
      </c>
      <c r="O196" s="159">
        <v>0</v>
      </c>
      <c r="P196" s="159">
        <v>23</v>
      </c>
      <c r="Q196" s="159">
        <v>0</v>
      </c>
      <c r="R196" s="159">
        <v>2</v>
      </c>
      <c r="S196" s="159">
        <v>27</v>
      </c>
      <c r="T196" s="159">
        <v>12</v>
      </c>
      <c r="U196" s="159">
        <v>196</v>
      </c>
      <c r="V196" s="159">
        <v>0</v>
      </c>
      <c r="W196" s="159">
        <v>0</v>
      </c>
      <c r="X196" s="158">
        <v>307516</v>
      </c>
    </row>
    <row r="197" spans="1:25" ht="15" customHeight="1">
      <c r="A197" s="166"/>
      <c r="B197" s="146" t="s">
        <v>97</v>
      </c>
      <c r="C197" s="165"/>
      <c r="D197" s="164" t="s">
        <v>92</v>
      </c>
      <c r="E197" s="163"/>
      <c r="F197" s="146" t="s">
        <v>39</v>
      </c>
      <c r="G197" s="162"/>
      <c r="H197" s="161">
        <f t="shared" si="7"/>
        <v>57332</v>
      </c>
      <c r="I197" s="160">
        <v>3</v>
      </c>
      <c r="J197" s="159">
        <v>30</v>
      </c>
      <c r="K197" s="159">
        <v>4</v>
      </c>
      <c r="L197" s="159">
        <v>57</v>
      </c>
      <c r="M197" s="159">
        <v>14</v>
      </c>
      <c r="N197" s="159">
        <v>520</v>
      </c>
      <c r="O197" s="159">
        <v>0</v>
      </c>
      <c r="P197" s="159">
        <v>0</v>
      </c>
      <c r="Q197" s="159">
        <v>0</v>
      </c>
      <c r="R197" s="159">
        <v>80</v>
      </c>
      <c r="S197" s="159">
        <v>42181</v>
      </c>
      <c r="T197" s="159">
        <v>0</v>
      </c>
      <c r="U197" s="159">
        <v>2</v>
      </c>
      <c r="V197" s="159">
        <v>0</v>
      </c>
      <c r="W197" s="159">
        <v>1</v>
      </c>
      <c r="X197" s="158">
        <v>14440</v>
      </c>
    </row>
    <row r="198" spans="1:25" ht="15" customHeight="1">
      <c r="A198" s="166"/>
      <c r="B198" s="363" t="s">
        <v>92</v>
      </c>
      <c r="C198" s="363"/>
      <c r="D198" s="363"/>
      <c r="E198" s="167"/>
      <c r="F198" s="146" t="s">
        <v>87</v>
      </c>
      <c r="G198" s="162"/>
      <c r="H198" s="161">
        <f t="shared" si="7"/>
        <v>24309</v>
      </c>
      <c r="I198" s="160">
        <v>0</v>
      </c>
      <c r="J198" s="159">
        <v>5</v>
      </c>
      <c r="K198" s="159">
        <v>2</v>
      </c>
      <c r="L198" s="159">
        <v>28</v>
      </c>
      <c r="M198" s="159">
        <v>7</v>
      </c>
      <c r="N198" s="159">
        <v>120</v>
      </c>
      <c r="O198" s="159">
        <v>0</v>
      </c>
      <c r="P198" s="159">
        <v>0</v>
      </c>
      <c r="Q198" s="159">
        <v>0</v>
      </c>
      <c r="R198" s="159">
        <v>40</v>
      </c>
      <c r="S198" s="159">
        <v>18081</v>
      </c>
      <c r="T198" s="159">
        <v>0</v>
      </c>
      <c r="U198" s="159">
        <v>1</v>
      </c>
      <c r="V198" s="159">
        <v>0</v>
      </c>
      <c r="W198" s="159">
        <v>0</v>
      </c>
      <c r="X198" s="158">
        <v>6025</v>
      </c>
    </row>
    <row r="199" spans="1:25" ht="15" customHeight="1">
      <c r="A199" s="166"/>
      <c r="B199" s="146" t="s">
        <v>96</v>
      </c>
      <c r="C199" s="165"/>
      <c r="D199" s="164" t="s">
        <v>92</v>
      </c>
      <c r="E199" s="163"/>
      <c r="F199" s="146" t="s">
        <v>39</v>
      </c>
      <c r="G199" s="162"/>
      <c r="H199" s="161">
        <f t="shared" si="7"/>
        <v>29522</v>
      </c>
      <c r="I199" s="160">
        <v>96</v>
      </c>
      <c r="J199" s="159">
        <v>65</v>
      </c>
      <c r="K199" s="159">
        <v>12</v>
      </c>
      <c r="L199" s="159">
        <v>1230</v>
      </c>
      <c r="M199" s="159">
        <v>110</v>
      </c>
      <c r="N199" s="159">
        <v>203</v>
      </c>
      <c r="O199" s="159">
        <v>9</v>
      </c>
      <c r="P199" s="159">
        <v>7</v>
      </c>
      <c r="Q199" s="159">
        <v>137</v>
      </c>
      <c r="R199" s="159">
        <v>665</v>
      </c>
      <c r="S199" s="159">
        <v>1535</v>
      </c>
      <c r="T199" s="159">
        <v>0</v>
      </c>
      <c r="U199" s="159">
        <v>5588</v>
      </c>
      <c r="V199" s="159">
        <v>0</v>
      </c>
      <c r="W199" s="159">
        <v>27</v>
      </c>
      <c r="X199" s="158">
        <v>19838</v>
      </c>
    </row>
    <row r="200" spans="1:25" ht="15" customHeight="1">
      <c r="A200" s="166"/>
      <c r="B200" s="363" t="s">
        <v>92</v>
      </c>
      <c r="C200" s="363"/>
      <c r="D200" s="363"/>
      <c r="E200" s="167"/>
      <c r="F200" s="146" t="s">
        <v>95</v>
      </c>
      <c r="G200" s="162"/>
      <c r="H200" s="161">
        <f t="shared" si="7"/>
        <v>18151</v>
      </c>
      <c r="I200" s="160">
        <v>80</v>
      </c>
      <c r="J200" s="159">
        <v>30</v>
      </c>
      <c r="K200" s="159">
        <v>6</v>
      </c>
      <c r="L200" s="159">
        <v>943</v>
      </c>
      <c r="M200" s="159">
        <v>12</v>
      </c>
      <c r="N200" s="159">
        <v>26</v>
      </c>
      <c r="O200" s="159">
        <v>0</v>
      </c>
      <c r="P200" s="159">
        <v>0</v>
      </c>
      <c r="Q200" s="159">
        <v>19</v>
      </c>
      <c r="R200" s="159">
        <v>99</v>
      </c>
      <c r="S200" s="159">
        <v>182</v>
      </c>
      <c r="T200" s="159">
        <v>0</v>
      </c>
      <c r="U200" s="159">
        <v>3587</v>
      </c>
      <c r="V200" s="159">
        <v>0</v>
      </c>
      <c r="W200" s="159">
        <v>0</v>
      </c>
      <c r="X200" s="158">
        <v>13167</v>
      </c>
    </row>
    <row r="201" spans="1:25" ht="15" customHeight="1">
      <c r="A201" s="166"/>
      <c r="B201" s="146" t="s">
        <v>94</v>
      </c>
      <c r="C201" s="165"/>
      <c r="D201" s="164" t="s">
        <v>92</v>
      </c>
      <c r="E201" s="163"/>
      <c r="F201" s="146" t="s">
        <v>39</v>
      </c>
      <c r="G201" s="162"/>
      <c r="H201" s="161">
        <f t="shared" si="7"/>
        <v>75894</v>
      </c>
      <c r="I201" s="160">
        <v>0</v>
      </c>
      <c r="J201" s="159">
        <v>19</v>
      </c>
      <c r="K201" s="159">
        <v>7</v>
      </c>
      <c r="L201" s="159">
        <v>130</v>
      </c>
      <c r="M201" s="159">
        <v>140</v>
      </c>
      <c r="N201" s="159">
        <v>0</v>
      </c>
      <c r="O201" s="159">
        <v>2</v>
      </c>
      <c r="P201" s="159">
        <v>55</v>
      </c>
      <c r="Q201" s="159">
        <v>34</v>
      </c>
      <c r="R201" s="159">
        <v>371</v>
      </c>
      <c r="S201" s="159">
        <v>49</v>
      </c>
      <c r="T201" s="159">
        <v>8</v>
      </c>
      <c r="U201" s="159">
        <v>31328</v>
      </c>
      <c r="V201" s="159">
        <v>0</v>
      </c>
      <c r="W201" s="159">
        <v>2</v>
      </c>
      <c r="X201" s="158">
        <v>43749</v>
      </c>
    </row>
    <row r="202" spans="1:25" ht="15" customHeight="1">
      <c r="A202" s="166"/>
      <c r="B202" s="363" t="s">
        <v>92</v>
      </c>
      <c r="C202" s="363"/>
      <c r="D202" s="363"/>
      <c r="E202" s="167"/>
      <c r="F202" s="146" t="s">
        <v>87</v>
      </c>
      <c r="G202" s="162"/>
      <c r="H202" s="161">
        <f t="shared" si="7"/>
        <v>10485</v>
      </c>
      <c r="I202" s="160">
        <v>0</v>
      </c>
      <c r="J202" s="159">
        <v>10</v>
      </c>
      <c r="K202" s="159">
        <v>3</v>
      </c>
      <c r="L202" s="159">
        <v>70</v>
      </c>
      <c r="M202" s="159">
        <v>64</v>
      </c>
      <c r="N202" s="159">
        <v>0</v>
      </c>
      <c r="O202" s="159">
        <v>2</v>
      </c>
      <c r="P202" s="159">
        <v>29</v>
      </c>
      <c r="Q202" s="159">
        <v>5</v>
      </c>
      <c r="R202" s="159">
        <v>0</v>
      </c>
      <c r="S202" s="159">
        <v>9</v>
      </c>
      <c r="T202" s="159">
        <v>4</v>
      </c>
      <c r="U202" s="159">
        <v>10258</v>
      </c>
      <c r="V202" s="159">
        <v>0</v>
      </c>
      <c r="W202" s="159">
        <v>0</v>
      </c>
      <c r="X202" s="158">
        <v>31</v>
      </c>
    </row>
    <row r="203" spans="1:25" ht="15" customHeight="1">
      <c r="A203" s="166"/>
      <c r="B203" s="146" t="s">
        <v>93</v>
      </c>
      <c r="C203" s="165"/>
      <c r="D203" s="164" t="s">
        <v>92</v>
      </c>
      <c r="E203" s="163"/>
      <c r="F203" s="146" t="s">
        <v>39</v>
      </c>
      <c r="G203" s="162"/>
      <c r="H203" s="161">
        <f t="shared" si="7"/>
        <v>32127</v>
      </c>
      <c r="I203" s="160">
        <v>83</v>
      </c>
      <c r="J203" s="159">
        <v>0</v>
      </c>
      <c r="K203" s="159">
        <v>0</v>
      </c>
      <c r="L203" s="159">
        <v>132</v>
      </c>
      <c r="M203" s="159">
        <v>37</v>
      </c>
      <c r="N203" s="159">
        <v>95</v>
      </c>
      <c r="O203" s="159">
        <v>5</v>
      </c>
      <c r="P203" s="159">
        <v>0</v>
      </c>
      <c r="Q203" s="159">
        <v>72</v>
      </c>
      <c r="R203" s="159">
        <v>6</v>
      </c>
      <c r="S203" s="159">
        <v>105</v>
      </c>
      <c r="T203" s="159">
        <v>31</v>
      </c>
      <c r="U203" s="159">
        <v>12126</v>
      </c>
      <c r="V203" s="159">
        <v>0</v>
      </c>
      <c r="W203" s="159">
        <v>0</v>
      </c>
      <c r="X203" s="158">
        <v>19435</v>
      </c>
    </row>
    <row r="204" spans="1:25" ht="15" customHeight="1" thickBot="1">
      <c r="A204" s="157"/>
      <c r="B204" s="364" t="s">
        <v>92</v>
      </c>
      <c r="C204" s="364"/>
      <c r="D204" s="364"/>
      <c r="E204" s="156"/>
      <c r="F204" s="155" t="s">
        <v>87</v>
      </c>
      <c r="G204" s="154"/>
      <c r="H204" s="153">
        <f t="shared" si="7"/>
        <v>118070</v>
      </c>
      <c r="I204" s="152">
        <v>42</v>
      </c>
      <c r="J204" s="151">
        <v>0</v>
      </c>
      <c r="K204" s="151">
        <v>0</v>
      </c>
      <c r="L204" s="151">
        <v>52</v>
      </c>
      <c r="M204" s="151">
        <v>0</v>
      </c>
      <c r="N204" s="151">
        <v>49</v>
      </c>
      <c r="O204" s="151">
        <v>0</v>
      </c>
      <c r="P204" s="151">
        <v>0</v>
      </c>
      <c r="Q204" s="151">
        <v>21</v>
      </c>
      <c r="R204" s="151">
        <v>0</v>
      </c>
      <c r="S204" s="151">
        <v>111</v>
      </c>
      <c r="T204" s="151">
        <v>15</v>
      </c>
      <c r="U204" s="151">
        <v>4466</v>
      </c>
      <c r="V204" s="151">
        <v>0</v>
      </c>
      <c r="W204" s="151">
        <v>0</v>
      </c>
      <c r="X204" s="150">
        <v>113314</v>
      </c>
      <c r="Y204" s="143"/>
    </row>
    <row r="205" spans="1:25" s="143" customFormat="1" ht="9.1999999999999993" customHeight="1" thickBot="1">
      <c r="A205" s="188"/>
      <c r="B205" s="187"/>
      <c r="C205" s="187"/>
      <c r="D205" s="187"/>
      <c r="E205" s="187"/>
      <c r="F205" s="187"/>
      <c r="G205" s="187"/>
      <c r="H205" s="186"/>
      <c r="I205" s="185"/>
      <c r="J205" s="185"/>
      <c r="K205" s="185"/>
      <c r="L205" s="185"/>
      <c r="M205" s="185"/>
      <c r="N205" s="185"/>
      <c r="O205" s="185"/>
      <c r="P205" s="185"/>
      <c r="Q205" s="185"/>
      <c r="R205" s="185"/>
      <c r="S205" s="185"/>
      <c r="T205" s="185"/>
      <c r="U205" s="185"/>
      <c r="V205" s="185"/>
      <c r="W205" s="185"/>
      <c r="X205" s="185"/>
    </row>
    <row r="206" spans="1:25" s="143" customFormat="1" ht="54" customHeight="1">
      <c r="A206" s="366" t="s">
        <v>91</v>
      </c>
      <c r="B206" s="367"/>
      <c r="C206" s="367"/>
      <c r="D206" s="367"/>
      <c r="E206" s="367"/>
      <c r="F206" s="367"/>
      <c r="G206" s="368"/>
      <c r="H206" s="184" t="s">
        <v>16</v>
      </c>
      <c r="I206" s="183" t="s">
        <v>15</v>
      </c>
      <c r="J206" s="181" t="s">
        <v>14</v>
      </c>
      <c r="K206" s="181" t="s">
        <v>13</v>
      </c>
      <c r="L206" s="181" t="s">
        <v>12</v>
      </c>
      <c r="M206" s="181" t="s">
        <v>11</v>
      </c>
      <c r="N206" s="181" t="s">
        <v>10</v>
      </c>
      <c r="O206" s="181" t="s">
        <v>9</v>
      </c>
      <c r="P206" s="181" t="s">
        <v>8</v>
      </c>
      <c r="Q206" s="181" t="s">
        <v>7</v>
      </c>
      <c r="R206" s="181" t="s">
        <v>6</v>
      </c>
      <c r="S206" s="182" t="s">
        <v>5</v>
      </c>
      <c r="T206" s="181" t="s">
        <v>4</v>
      </c>
      <c r="U206" s="181" t="s">
        <v>3</v>
      </c>
      <c r="V206" s="181" t="s">
        <v>2</v>
      </c>
      <c r="W206" s="181" t="s">
        <v>1</v>
      </c>
      <c r="X206" s="180" t="s">
        <v>0</v>
      </c>
    </row>
    <row r="207" spans="1:25" s="143" customFormat="1" ht="9.1999999999999993" customHeight="1" thickBot="1">
      <c r="A207" s="369"/>
      <c r="B207" s="370"/>
      <c r="C207" s="370"/>
      <c r="D207" s="370"/>
      <c r="E207" s="370"/>
      <c r="F207" s="370"/>
      <c r="G207" s="371"/>
      <c r="H207" s="179"/>
      <c r="I207" s="178"/>
      <c r="J207" s="176"/>
      <c r="K207" s="176"/>
      <c r="L207" s="176"/>
      <c r="M207" s="176"/>
      <c r="N207" s="176"/>
      <c r="O207" s="176"/>
      <c r="P207" s="176"/>
      <c r="Q207" s="176"/>
      <c r="R207" s="176"/>
      <c r="S207" s="177"/>
      <c r="T207" s="176"/>
      <c r="U207" s="176"/>
      <c r="V207" s="176"/>
      <c r="W207" s="176"/>
      <c r="X207" s="175"/>
    </row>
    <row r="208" spans="1:25" s="143" customFormat="1" ht="14.1" customHeight="1">
      <c r="A208" s="174"/>
      <c r="B208" s="365"/>
      <c r="C208" s="365"/>
      <c r="D208" s="365"/>
      <c r="E208" s="365"/>
      <c r="F208" s="365"/>
      <c r="G208" s="173"/>
      <c r="H208" s="172" t="s">
        <v>34</v>
      </c>
      <c r="I208" s="171" t="s">
        <v>34</v>
      </c>
      <c r="J208" s="170" t="s">
        <v>34</v>
      </c>
      <c r="K208" s="170" t="s">
        <v>34</v>
      </c>
      <c r="L208" s="170" t="s">
        <v>34</v>
      </c>
      <c r="M208" s="170" t="s">
        <v>34</v>
      </c>
      <c r="N208" s="170" t="s">
        <v>34</v>
      </c>
      <c r="O208" s="170" t="s">
        <v>34</v>
      </c>
      <c r="P208" s="170" t="s">
        <v>34</v>
      </c>
      <c r="Q208" s="170" t="s">
        <v>34</v>
      </c>
      <c r="R208" s="170" t="s">
        <v>34</v>
      </c>
      <c r="S208" s="170" t="s">
        <v>34</v>
      </c>
      <c r="T208" s="170" t="s">
        <v>34</v>
      </c>
      <c r="U208" s="170" t="s">
        <v>34</v>
      </c>
      <c r="V208" s="170" t="s">
        <v>34</v>
      </c>
      <c r="W208" s="170" t="s">
        <v>34</v>
      </c>
      <c r="X208" s="169" t="s">
        <v>34</v>
      </c>
      <c r="Y208" s="140"/>
    </row>
    <row r="209" spans="1:24" ht="15" customHeight="1">
      <c r="A209" s="166"/>
      <c r="B209" s="146" t="s">
        <v>90</v>
      </c>
      <c r="C209" s="165"/>
      <c r="D209" s="146" t="s">
        <v>89</v>
      </c>
      <c r="E209" s="163"/>
      <c r="F209" s="146" t="s">
        <v>39</v>
      </c>
      <c r="G209" s="162"/>
      <c r="H209" s="161">
        <f>SUM(I209:X209)</f>
        <v>97113</v>
      </c>
      <c r="I209" s="160">
        <v>219</v>
      </c>
      <c r="J209" s="159">
        <v>0</v>
      </c>
      <c r="K209" s="159">
        <v>2</v>
      </c>
      <c r="L209" s="159">
        <v>310</v>
      </c>
      <c r="M209" s="159">
        <v>0</v>
      </c>
      <c r="N209" s="159">
        <v>559</v>
      </c>
      <c r="O209" s="159">
        <v>93</v>
      </c>
      <c r="P209" s="159">
        <v>13</v>
      </c>
      <c r="Q209" s="159">
        <v>176</v>
      </c>
      <c r="R209" s="159">
        <v>1819</v>
      </c>
      <c r="S209" s="159">
        <v>422</v>
      </c>
      <c r="T209" s="159">
        <v>12</v>
      </c>
      <c r="U209" s="159">
        <v>5130</v>
      </c>
      <c r="V209" s="159">
        <v>0</v>
      </c>
      <c r="W209" s="159">
        <v>0</v>
      </c>
      <c r="X209" s="158">
        <v>88358</v>
      </c>
    </row>
    <row r="210" spans="1:24" ht="15" customHeight="1">
      <c r="A210" s="166"/>
      <c r="B210" s="363" t="s">
        <v>17</v>
      </c>
      <c r="C210" s="363"/>
      <c r="D210" s="363"/>
      <c r="E210" s="167"/>
      <c r="F210" s="146" t="s">
        <v>87</v>
      </c>
      <c r="G210" s="162"/>
      <c r="H210" s="161">
        <f>SUM(I210:X210)</f>
        <v>136849</v>
      </c>
      <c r="I210" s="160">
        <v>0</v>
      </c>
      <c r="J210" s="159">
        <v>0</v>
      </c>
      <c r="K210" s="159">
        <v>1</v>
      </c>
      <c r="L210" s="159">
        <v>1533</v>
      </c>
      <c r="M210" s="159">
        <v>0</v>
      </c>
      <c r="N210" s="159">
        <v>0</v>
      </c>
      <c r="O210" s="159">
        <v>2217</v>
      </c>
      <c r="P210" s="159">
        <v>2</v>
      </c>
      <c r="Q210" s="159">
        <v>6</v>
      </c>
      <c r="R210" s="159">
        <v>1776</v>
      </c>
      <c r="S210" s="159">
        <v>252</v>
      </c>
      <c r="T210" s="159">
        <v>6</v>
      </c>
      <c r="U210" s="159">
        <v>2594</v>
      </c>
      <c r="V210" s="159">
        <v>0</v>
      </c>
      <c r="W210" s="159">
        <v>0</v>
      </c>
      <c r="X210" s="158">
        <v>128462</v>
      </c>
    </row>
    <row r="211" spans="1:24" ht="15" customHeight="1">
      <c r="A211" s="166"/>
      <c r="B211" s="146" t="s">
        <v>88</v>
      </c>
      <c r="C211" s="165"/>
      <c r="D211" s="164" t="s">
        <v>17</v>
      </c>
      <c r="E211" s="163"/>
      <c r="F211" s="146" t="s">
        <v>39</v>
      </c>
      <c r="G211" s="162"/>
      <c r="H211" s="161">
        <f>SUM(I211:X211)</f>
        <v>138953</v>
      </c>
      <c r="I211" s="160">
        <v>0</v>
      </c>
      <c r="J211" s="159">
        <v>0</v>
      </c>
      <c r="K211" s="159">
        <v>4</v>
      </c>
      <c r="L211" s="159">
        <v>113</v>
      </c>
      <c r="M211" s="159">
        <v>0</v>
      </c>
      <c r="N211" s="159">
        <v>1017</v>
      </c>
      <c r="O211" s="159">
        <v>0</v>
      </c>
      <c r="P211" s="159">
        <v>0</v>
      </c>
      <c r="Q211" s="159">
        <v>43</v>
      </c>
      <c r="R211" s="159">
        <v>0</v>
      </c>
      <c r="S211" s="159">
        <v>8376</v>
      </c>
      <c r="T211" s="159">
        <v>0</v>
      </c>
      <c r="U211" s="159">
        <v>741</v>
      </c>
      <c r="V211" s="159">
        <v>0</v>
      </c>
      <c r="W211" s="159">
        <v>0</v>
      </c>
      <c r="X211" s="158">
        <v>128659</v>
      </c>
    </row>
    <row r="212" spans="1:24" ht="15" customHeight="1" thickBot="1">
      <c r="A212" s="157"/>
      <c r="B212" s="364" t="s">
        <v>17</v>
      </c>
      <c r="C212" s="364"/>
      <c r="D212" s="364"/>
      <c r="E212" s="156"/>
      <c r="F212" s="155" t="s">
        <v>87</v>
      </c>
      <c r="G212" s="154"/>
      <c r="H212" s="153">
        <f>SUM(I212:X212)</f>
        <v>397737</v>
      </c>
      <c r="I212" s="152">
        <v>0</v>
      </c>
      <c r="J212" s="151">
        <v>0</v>
      </c>
      <c r="K212" s="151">
        <v>74</v>
      </c>
      <c r="L212" s="151">
        <v>310</v>
      </c>
      <c r="M212" s="151">
        <v>0</v>
      </c>
      <c r="N212" s="151">
        <v>494</v>
      </c>
      <c r="O212" s="151">
        <v>0</v>
      </c>
      <c r="P212" s="151">
        <v>0</v>
      </c>
      <c r="Q212" s="151">
        <v>21</v>
      </c>
      <c r="R212" s="151">
        <v>0</v>
      </c>
      <c r="S212" s="151">
        <v>4222</v>
      </c>
      <c r="T212" s="151">
        <v>0</v>
      </c>
      <c r="U212" s="151">
        <v>369</v>
      </c>
      <c r="V212" s="151">
        <v>0</v>
      </c>
      <c r="W212" s="151">
        <v>0</v>
      </c>
      <c r="X212" s="150">
        <v>392247</v>
      </c>
    </row>
    <row r="213" spans="1:24" ht="11.25" customHeight="1">
      <c r="A213" s="149"/>
      <c r="B213" s="148"/>
      <c r="C213" s="148"/>
      <c r="D213" s="148"/>
      <c r="E213" s="147"/>
      <c r="F213" s="146"/>
      <c r="G213" s="145"/>
      <c r="H213" s="144"/>
      <c r="I213" s="144"/>
      <c r="J213" s="144"/>
      <c r="K213" s="144"/>
      <c r="L213" s="144"/>
      <c r="M213" s="144"/>
      <c r="N213" s="144"/>
      <c r="O213" s="144"/>
      <c r="P213" s="144"/>
      <c r="Q213" s="144"/>
      <c r="R213" s="144"/>
      <c r="S213" s="144"/>
      <c r="T213" s="144"/>
      <c r="U213" s="144"/>
      <c r="V213" s="144"/>
      <c r="W213" s="144"/>
      <c r="X213" s="144"/>
    </row>
  </sheetData>
  <mergeCells count="108">
    <mergeCell ref="B2:F2"/>
    <mergeCell ref="A3:G5"/>
    <mergeCell ref="B6:F6"/>
    <mergeCell ref="B7:E7"/>
    <mergeCell ref="B8:E8"/>
    <mergeCell ref="B9:D9"/>
    <mergeCell ref="B10:D10"/>
    <mergeCell ref="B12:D12"/>
    <mergeCell ref="B14:D14"/>
    <mergeCell ref="B28:D28"/>
    <mergeCell ref="B30:D30"/>
    <mergeCell ref="B32:D32"/>
    <mergeCell ref="B38:D38"/>
    <mergeCell ref="B40:D40"/>
    <mergeCell ref="B42:D42"/>
    <mergeCell ref="B16:D16"/>
    <mergeCell ref="B18:D18"/>
    <mergeCell ref="B20:D20"/>
    <mergeCell ref="B22:D22"/>
    <mergeCell ref="B24:D24"/>
    <mergeCell ref="B26:D26"/>
    <mergeCell ref="B52:D52"/>
    <mergeCell ref="B54:D54"/>
    <mergeCell ref="B56:D56"/>
    <mergeCell ref="B58:D58"/>
    <mergeCell ref="B60:D60"/>
    <mergeCell ref="B62:D62"/>
    <mergeCell ref="B44:D44"/>
    <mergeCell ref="A34:G35"/>
    <mergeCell ref="B36:F36"/>
    <mergeCell ref="B46:D46"/>
    <mergeCell ref="B48:D48"/>
    <mergeCell ref="B50:D50"/>
    <mergeCell ref="B70:F70"/>
    <mergeCell ref="B82:D82"/>
    <mergeCell ref="B88:D88"/>
    <mergeCell ref="B90:D90"/>
    <mergeCell ref="B64:D64"/>
    <mergeCell ref="B66:D66"/>
    <mergeCell ref="A68:G69"/>
    <mergeCell ref="B72:D72"/>
    <mergeCell ref="B74:D74"/>
    <mergeCell ref="B76:D76"/>
    <mergeCell ref="B92:D92"/>
    <mergeCell ref="B84:D84"/>
    <mergeCell ref="B86:D86"/>
    <mergeCell ref="B98:D98"/>
    <mergeCell ref="B100:D100"/>
    <mergeCell ref="B94:D94"/>
    <mergeCell ref="B96:D96"/>
    <mergeCell ref="B78:D78"/>
    <mergeCell ref="B80:D80"/>
    <mergeCell ref="B114:D114"/>
    <mergeCell ref="B116:D116"/>
    <mergeCell ref="B118:D118"/>
    <mergeCell ref="B120:D120"/>
    <mergeCell ref="B122:D122"/>
    <mergeCell ref="B124:D124"/>
    <mergeCell ref="A102:G103"/>
    <mergeCell ref="B104:F104"/>
    <mergeCell ref="B106:D106"/>
    <mergeCell ref="B108:D108"/>
    <mergeCell ref="B110:D110"/>
    <mergeCell ref="B112:D112"/>
    <mergeCell ref="B142:D142"/>
    <mergeCell ref="B144:D144"/>
    <mergeCell ref="B146:D146"/>
    <mergeCell ref="B148:D148"/>
    <mergeCell ref="B150:D150"/>
    <mergeCell ref="B152:D152"/>
    <mergeCell ref="B126:D126"/>
    <mergeCell ref="B128:D128"/>
    <mergeCell ref="B130:D130"/>
    <mergeCell ref="B132:D132"/>
    <mergeCell ref="B140:D140"/>
    <mergeCell ref="B134:D134"/>
    <mergeCell ref="A136:G137"/>
    <mergeCell ref="B138:F138"/>
    <mergeCell ref="B174:D174"/>
    <mergeCell ref="B176:D176"/>
    <mergeCell ref="B166:D166"/>
    <mergeCell ref="B168:D168"/>
    <mergeCell ref="A170:G171"/>
    <mergeCell ref="B172:F172"/>
    <mergeCell ref="B154:D154"/>
    <mergeCell ref="B156:D156"/>
    <mergeCell ref="B158:D158"/>
    <mergeCell ref="B160:D160"/>
    <mergeCell ref="B162:D162"/>
    <mergeCell ref="B164:D164"/>
    <mergeCell ref="B210:D210"/>
    <mergeCell ref="B212:D212"/>
    <mergeCell ref="B190:D190"/>
    <mergeCell ref="B192:D192"/>
    <mergeCell ref="B196:D196"/>
    <mergeCell ref="B178:D178"/>
    <mergeCell ref="B180:D180"/>
    <mergeCell ref="B182:D182"/>
    <mergeCell ref="B184:D184"/>
    <mergeCell ref="B186:D186"/>
    <mergeCell ref="B188:D188"/>
    <mergeCell ref="B208:F208"/>
    <mergeCell ref="B194:D194"/>
    <mergeCell ref="B198:D198"/>
    <mergeCell ref="B200:D200"/>
    <mergeCell ref="B202:D202"/>
    <mergeCell ref="B204:D204"/>
    <mergeCell ref="A206:G207"/>
  </mergeCells>
  <phoneticPr fontId="1"/>
  <printOptions horizontalCentered="1"/>
  <pageMargins left="0.39370078740157483" right="0.39370078740157483" top="0.78740157480314965" bottom="0.43307086614173229" header="0.51181102362204722" footer="0.31496062992125984"/>
  <pageSetup paperSize="9" fitToHeight="0" orientation="landscape" r:id="rId1"/>
  <headerFooter alignWithMargins="0"/>
  <rowBreaks count="9" manualBreakCount="9">
    <brk id="33" max="23" man="1"/>
    <brk id="67" max="23" man="1"/>
    <brk id="101" max="23" man="1"/>
    <brk id="135" max="23" man="1"/>
    <brk id="169" max="23" man="1"/>
    <brk id="204" max="23" man="1"/>
    <brk id="240" max="23" man="1"/>
    <brk id="268" max="23" man="1"/>
    <brk id="296" max="2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"/>
  <sheetViews>
    <sheetView view="pageBreakPreview" zoomScaleNormal="70" zoomScaleSheetLayoutView="100" workbookViewId="0">
      <pane xSplit="7" ySplit="4" topLeftCell="H5" activePane="bottomRight" state="frozenSplit"/>
      <selection activeCell="O10" sqref="O10"/>
      <selection pane="topRight" activeCell="O10" sqref="O10"/>
      <selection pane="bottomLeft" activeCell="O10" sqref="O10"/>
      <selection pane="bottomRight" activeCell="O10" sqref="O10"/>
    </sheetView>
  </sheetViews>
  <sheetFormatPr defaultRowHeight="10.5"/>
  <cols>
    <col min="1" max="1" width="1.5" style="143" customWidth="1"/>
    <col min="2" max="2" width="7.75" style="143" customWidth="1"/>
    <col min="3" max="3" width="1.5" style="143" customWidth="1"/>
    <col min="4" max="4" width="10.75" style="143" customWidth="1"/>
    <col min="5" max="5" width="1.5" style="143" customWidth="1"/>
    <col min="6" max="6" width="7.625" style="143" customWidth="1"/>
    <col min="7" max="7" width="1.5" style="143" customWidth="1"/>
    <col min="8" max="8" width="6.625" style="142" customWidth="1"/>
    <col min="9" max="9" width="6.625" style="141" customWidth="1"/>
    <col min="10" max="18" width="5.625" style="141" customWidth="1"/>
    <col min="19" max="19" width="7.5" style="141" bestFit="1" customWidth="1"/>
    <col min="20" max="20" width="5.625" style="141" customWidth="1"/>
    <col min="21" max="21" width="7.5" style="141" bestFit="1" customWidth="1"/>
    <col min="22" max="23" width="5.625" style="141" customWidth="1"/>
    <col min="24" max="24" width="8.5" style="141" bestFit="1" customWidth="1"/>
    <col min="25" max="16384" width="9" style="140"/>
  </cols>
  <sheetData>
    <row r="1" spans="1:25" s="143" customFormat="1" ht="20.25" customHeight="1" thickBot="1">
      <c r="A1" s="241"/>
      <c r="B1" s="372" t="s">
        <v>215</v>
      </c>
      <c r="C1" s="372"/>
      <c r="D1" s="372"/>
      <c r="E1" s="372"/>
      <c r="F1" s="372"/>
      <c r="G1" s="241"/>
      <c r="H1" s="240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</row>
    <row r="2" spans="1:25" s="143" customFormat="1" ht="9.75" customHeight="1">
      <c r="A2" s="373" t="s">
        <v>211</v>
      </c>
      <c r="B2" s="374"/>
      <c r="C2" s="374"/>
      <c r="D2" s="374"/>
      <c r="E2" s="374"/>
      <c r="F2" s="374"/>
      <c r="G2" s="375"/>
      <c r="H2" s="172"/>
      <c r="I2" s="272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2"/>
    </row>
    <row r="3" spans="1:25" s="143" customFormat="1" ht="54" customHeight="1">
      <c r="A3" s="376"/>
      <c r="B3" s="377"/>
      <c r="C3" s="377"/>
      <c r="D3" s="377"/>
      <c r="E3" s="377"/>
      <c r="F3" s="377"/>
      <c r="G3" s="378"/>
      <c r="H3" s="237" t="s">
        <v>16</v>
      </c>
      <c r="I3" s="252" t="s">
        <v>15</v>
      </c>
      <c r="J3" s="250" t="s">
        <v>14</v>
      </c>
      <c r="K3" s="250" t="s">
        <v>13</v>
      </c>
      <c r="L3" s="250" t="s">
        <v>12</v>
      </c>
      <c r="M3" s="250" t="s">
        <v>11</v>
      </c>
      <c r="N3" s="250" t="s">
        <v>10</v>
      </c>
      <c r="O3" s="250" t="s">
        <v>9</v>
      </c>
      <c r="P3" s="250" t="s">
        <v>8</v>
      </c>
      <c r="Q3" s="250" t="s">
        <v>7</v>
      </c>
      <c r="R3" s="250" t="s">
        <v>6</v>
      </c>
      <c r="S3" s="251" t="s">
        <v>5</v>
      </c>
      <c r="T3" s="250" t="s">
        <v>4</v>
      </c>
      <c r="U3" s="250" t="s">
        <v>3</v>
      </c>
      <c r="V3" s="250" t="s">
        <v>2</v>
      </c>
      <c r="W3" s="250" t="s">
        <v>1</v>
      </c>
      <c r="X3" s="249" t="s">
        <v>0</v>
      </c>
    </row>
    <row r="4" spans="1:25" s="143" customFormat="1" ht="9.75" customHeight="1" thickBot="1">
      <c r="A4" s="379"/>
      <c r="B4" s="380"/>
      <c r="C4" s="380"/>
      <c r="D4" s="380"/>
      <c r="E4" s="380"/>
      <c r="F4" s="380"/>
      <c r="G4" s="381"/>
      <c r="H4" s="232"/>
      <c r="I4" s="271"/>
      <c r="J4" s="269"/>
      <c r="K4" s="269"/>
      <c r="L4" s="269"/>
      <c r="M4" s="269"/>
      <c r="N4" s="269"/>
      <c r="O4" s="269"/>
      <c r="P4" s="269"/>
      <c r="Q4" s="269"/>
      <c r="R4" s="269"/>
      <c r="S4" s="270"/>
      <c r="T4" s="269"/>
      <c r="U4" s="269"/>
      <c r="V4" s="269"/>
      <c r="W4" s="269"/>
      <c r="X4" s="268"/>
    </row>
    <row r="5" spans="1:25" s="143" customFormat="1" ht="17.25" customHeight="1">
      <c r="A5" s="174"/>
      <c r="B5" s="391"/>
      <c r="C5" s="391"/>
      <c r="D5" s="391"/>
      <c r="E5" s="391"/>
      <c r="F5" s="391"/>
      <c r="G5" s="173"/>
      <c r="H5" s="172" t="s">
        <v>34</v>
      </c>
      <c r="I5" s="254" t="s">
        <v>34</v>
      </c>
      <c r="J5" s="243" t="s">
        <v>34</v>
      </c>
      <c r="K5" s="243" t="s">
        <v>34</v>
      </c>
      <c r="L5" s="243" t="s">
        <v>34</v>
      </c>
      <c r="M5" s="243" t="s">
        <v>34</v>
      </c>
      <c r="N5" s="243" t="s">
        <v>34</v>
      </c>
      <c r="O5" s="243" t="s">
        <v>34</v>
      </c>
      <c r="P5" s="243" t="s">
        <v>34</v>
      </c>
      <c r="Q5" s="243" t="s">
        <v>34</v>
      </c>
      <c r="R5" s="243" t="s">
        <v>34</v>
      </c>
      <c r="S5" s="243" t="s">
        <v>34</v>
      </c>
      <c r="T5" s="243" t="s">
        <v>34</v>
      </c>
      <c r="U5" s="243" t="s">
        <v>34</v>
      </c>
      <c r="V5" s="243" t="s">
        <v>34</v>
      </c>
      <c r="W5" s="243" t="s">
        <v>34</v>
      </c>
      <c r="X5" s="242" t="s">
        <v>34</v>
      </c>
    </row>
    <row r="6" spans="1:25" ht="17.25" customHeight="1" thickBot="1">
      <c r="A6" s="267"/>
      <c r="B6" s="388" t="s">
        <v>33</v>
      </c>
      <c r="C6" s="388"/>
      <c r="D6" s="388"/>
      <c r="E6" s="388"/>
      <c r="F6" s="388"/>
      <c r="G6" s="266"/>
      <c r="H6" s="153">
        <f t="shared" ref="H6:X6" si="0">H7+H8+H9+H10+H11+H12+H13+H14+H15+H16+H17+H18+H19+H20+H21+H22+H23+H24+H25+H26+H32+H33+H34+H35+H36+H37+H38+H39+H40+H41+H42+H43+H44+H45+H46+H47+H48+H49+H50+H51+H52+H53+H54+H60+H61+H62+H63+H64+H65+H66+H67+H68+H69+H70+H71+H72+H73+H74+H75+H76+H77+H78+H79+H80+H81+H82+H88+H89+H90+H91+H92+H93+H94+H95+H96+H97+H98+H99+H100+H101+H102+H103+H104+H105+H106+H107+H108+H109+H110+H111</f>
        <v>658839</v>
      </c>
      <c r="I6" s="265">
        <f t="shared" si="0"/>
        <v>81555</v>
      </c>
      <c r="J6" s="264">
        <f t="shared" si="0"/>
        <v>3027</v>
      </c>
      <c r="K6" s="264">
        <f t="shared" si="0"/>
        <v>1235</v>
      </c>
      <c r="L6" s="264">
        <f t="shared" si="0"/>
        <v>5761</v>
      </c>
      <c r="M6" s="264">
        <f t="shared" si="0"/>
        <v>3194</v>
      </c>
      <c r="N6" s="264">
        <f t="shared" si="0"/>
        <v>4064</v>
      </c>
      <c r="O6" s="264">
        <f t="shared" si="0"/>
        <v>2446</v>
      </c>
      <c r="P6" s="264">
        <f t="shared" si="0"/>
        <v>346</v>
      </c>
      <c r="Q6" s="264">
        <f t="shared" si="0"/>
        <v>1681</v>
      </c>
      <c r="R6" s="264">
        <f t="shared" si="0"/>
        <v>4161</v>
      </c>
      <c r="S6" s="264">
        <f t="shared" si="0"/>
        <v>105294</v>
      </c>
      <c r="T6" s="264">
        <f t="shared" si="0"/>
        <v>164</v>
      </c>
      <c r="U6" s="264">
        <f t="shared" si="0"/>
        <v>51546</v>
      </c>
      <c r="V6" s="264">
        <f t="shared" si="0"/>
        <v>16</v>
      </c>
      <c r="W6" s="264">
        <f t="shared" si="0"/>
        <v>33</v>
      </c>
      <c r="X6" s="263">
        <f t="shared" si="0"/>
        <v>394316</v>
      </c>
    </row>
    <row r="7" spans="1:25" ht="19.899999999999999" customHeight="1">
      <c r="A7" s="166"/>
      <c r="B7" s="392" t="s">
        <v>214</v>
      </c>
      <c r="C7" s="392"/>
      <c r="D7" s="392"/>
      <c r="E7" s="392"/>
      <c r="F7" s="392"/>
      <c r="G7" s="162"/>
      <c r="H7" s="161">
        <f t="shared" ref="H7:H26" si="1">SUM(I7:X7)</f>
        <v>44</v>
      </c>
      <c r="I7" s="262">
        <v>0</v>
      </c>
      <c r="J7" s="261">
        <v>0</v>
      </c>
      <c r="K7" s="261">
        <v>0</v>
      </c>
      <c r="L7" s="261">
        <v>0</v>
      </c>
      <c r="M7" s="261">
        <v>0</v>
      </c>
      <c r="N7" s="261">
        <v>0</v>
      </c>
      <c r="O7" s="261">
        <v>0</v>
      </c>
      <c r="P7" s="261">
        <v>0</v>
      </c>
      <c r="Q7" s="261">
        <v>0</v>
      </c>
      <c r="R7" s="261">
        <v>0</v>
      </c>
      <c r="S7" s="261">
        <v>0</v>
      </c>
      <c r="T7" s="261">
        <v>0</v>
      </c>
      <c r="U7" s="261">
        <v>0</v>
      </c>
      <c r="V7" s="261">
        <v>0</v>
      </c>
      <c r="W7" s="261">
        <v>0</v>
      </c>
      <c r="X7" s="260">
        <v>44</v>
      </c>
    </row>
    <row r="8" spans="1:25" ht="19.899999999999999" customHeight="1">
      <c r="A8" s="166"/>
      <c r="B8" s="383" t="s">
        <v>202</v>
      </c>
      <c r="C8" s="383"/>
      <c r="D8" s="389" t="s">
        <v>201</v>
      </c>
      <c r="E8" s="389"/>
      <c r="F8" s="389"/>
      <c r="G8" s="162"/>
      <c r="H8" s="161">
        <f t="shared" si="1"/>
        <v>718</v>
      </c>
      <c r="I8" s="192">
        <f>8+6</f>
        <v>14</v>
      </c>
      <c r="J8" s="191">
        <f>1+1</f>
        <v>2</v>
      </c>
      <c r="K8" s="191">
        <f>38+123</f>
        <v>161</v>
      </c>
      <c r="L8" s="191">
        <f>48+25</f>
        <v>73</v>
      </c>
      <c r="M8" s="191">
        <f>90+42</f>
        <v>132</v>
      </c>
      <c r="N8" s="191">
        <f>0+3</f>
        <v>3</v>
      </c>
      <c r="O8" s="191">
        <v>0</v>
      </c>
      <c r="P8" s="191">
        <v>0</v>
      </c>
      <c r="Q8" s="191">
        <f>60+4</f>
        <v>64</v>
      </c>
      <c r="R8" s="191">
        <f>1+4</f>
        <v>5</v>
      </c>
      <c r="S8" s="191">
        <v>159</v>
      </c>
      <c r="T8" s="191">
        <f>0+13</f>
        <v>13</v>
      </c>
      <c r="U8" s="191">
        <f>1+2</f>
        <v>3</v>
      </c>
      <c r="V8" s="191">
        <v>0</v>
      </c>
      <c r="W8" s="191">
        <v>0</v>
      </c>
      <c r="X8" s="190">
        <f>19+70</f>
        <v>89</v>
      </c>
    </row>
    <row r="9" spans="1:25" ht="19.899999999999999" customHeight="1">
      <c r="A9" s="166"/>
      <c r="B9" s="383" t="s">
        <v>200</v>
      </c>
      <c r="C9" s="383"/>
      <c r="D9" s="386" t="s">
        <v>160</v>
      </c>
      <c r="E9" s="386"/>
      <c r="F9" s="386"/>
      <c r="G9" s="162"/>
      <c r="H9" s="161">
        <f t="shared" si="1"/>
        <v>1281</v>
      </c>
      <c r="I9" s="192">
        <v>19</v>
      </c>
      <c r="J9" s="191">
        <v>0</v>
      </c>
      <c r="K9" s="191">
        <f>46+31</f>
        <v>77</v>
      </c>
      <c r="L9" s="191">
        <f>45+16</f>
        <v>61</v>
      </c>
      <c r="M9" s="191">
        <f>26+6</f>
        <v>32</v>
      </c>
      <c r="N9" s="191">
        <v>76</v>
      </c>
      <c r="O9" s="191">
        <v>0</v>
      </c>
      <c r="P9" s="191">
        <f>0+1</f>
        <v>1</v>
      </c>
      <c r="Q9" s="191">
        <f>0+22</f>
        <v>22</v>
      </c>
      <c r="R9" s="191">
        <f>0+1</f>
        <v>1</v>
      </c>
      <c r="S9" s="191">
        <f>12+186</f>
        <v>198</v>
      </c>
      <c r="T9" s="191">
        <f>0+12</f>
        <v>12</v>
      </c>
      <c r="U9" s="191">
        <v>0</v>
      </c>
      <c r="V9" s="191">
        <f>1+1</f>
        <v>2</v>
      </c>
      <c r="W9" s="191">
        <v>0</v>
      </c>
      <c r="X9" s="190">
        <f>324+456</f>
        <v>780</v>
      </c>
    </row>
    <row r="10" spans="1:25" ht="19.899999999999999" customHeight="1">
      <c r="A10" s="166"/>
      <c r="B10" s="383" t="s">
        <v>199</v>
      </c>
      <c r="C10" s="383"/>
      <c r="D10" s="386" t="s">
        <v>160</v>
      </c>
      <c r="E10" s="386"/>
      <c r="F10" s="386"/>
      <c r="G10" s="162"/>
      <c r="H10" s="161">
        <f t="shared" si="1"/>
        <v>2218</v>
      </c>
      <c r="I10" s="192">
        <v>119</v>
      </c>
      <c r="J10" s="191">
        <v>5</v>
      </c>
      <c r="K10" s="191">
        <v>158</v>
      </c>
      <c r="L10" s="191">
        <v>365</v>
      </c>
      <c r="M10" s="191">
        <v>376</v>
      </c>
      <c r="N10" s="191">
        <v>56</v>
      </c>
      <c r="O10" s="191">
        <v>6</v>
      </c>
      <c r="P10" s="191">
        <v>0</v>
      </c>
      <c r="Q10" s="191">
        <v>167</v>
      </c>
      <c r="R10" s="191">
        <v>35</v>
      </c>
      <c r="S10" s="191">
        <v>53</v>
      </c>
      <c r="T10" s="191">
        <v>0</v>
      </c>
      <c r="U10" s="191">
        <v>2</v>
      </c>
      <c r="V10" s="191">
        <v>6</v>
      </c>
      <c r="W10" s="191">
        <v>0</v>
      </c>
      <c r="X10" s="190">
        <v>870</v>
      </c>
    </row>
    <row r="11" spans="1:25" ht="19.899999999999999" customHeight="1">
      <c r="A11" s="166"/>
      <c r="B11" s="383" t="s">
        <v>198</v>
      </c>
      <c r="C11" s="383"/>
      <c r="D11" s="386" t="s">
        <v>160</v>
      </c>
      <c r="E11" s="386"/>
      <c r="F11" s="386"/>
      <c r="G11" s="162"/>
      <c r="H11" s="161">
        <f t="shared" si="1"/>
        <v>320</v>
      </c>
      <c r="I11" s="192">
        <v>0</v>
      </c>
      <c r="J11" s="191">
        <v>0</v>
      </c>
      <c r="K11" s="191">
        <v>38</v>
      </c>
      <c r="L11" s="191">
        <v>66</v>
      </c>
      <c r="M11" s="191">
        <v>14</v>
      </c>
      <c r="N11" s="191">
        <v>0</v>
      </c>
      <c r="O11" s="191">
        <v>0</v>
      </c>
      <c r="P11" s="191">
        <v>0</v>
      </c>
      <c r="Q11" s="191">
        <v>6</v>
      </c>
      <c r="R11" s="191">
        <v>8</v>
      </c>
      <c r="S11" s="191">
        <v>2</v>
      </c>
      <c r="T11" s="191">
        <v>0</v>
      </c>
      <c r="U11" s="191">
        <v>0</v>
      </c>
      <c r="V11" s="191">
        <v>0</v>
      </c>
      <c r="W11" s="191">
        <v>0</v>
      </c>
      <c r="X11" s="190">
        <v>186</v>
      </c>
    </row>
    <row r="12" spans="1:25" ht="19.899999999999999" customHeight="1">
      <c r="A12" s="166"/>
      <c r="B12" s="383" t="s">
        <v>197</v>
      </c>
      <c r="C12" s="383"/>
      <c r="D12" s="386" t="s">
        <v>160</v>
      </c>
      <c r="E12" s="386"/>
      <c r="F12" s="386"/>
      <c r="G12" s="162"/>
      <c r="H12" s="161">
        <f t="shared" si="1"/>
        <v>514</v>
      </c>
      <c r="I12" s="192">
        <v>37</v>
      </c>
      <c r="J12" s="191">
        <v>31</v>
      </c>
      <c r="K12" s="191">
        <v>21</v>
      </c>
      <c r="L12" s="191">
        <v>135</v>
      </c>
      <c r="M12" s="191">
        <v>42</v>
      </c>
      <c r="N12" s="191">
        <v>0</v>
      </c>
      <c r="O12" s="191">
        <v>0</v>
      </c>
      <c r="P12" s="191">
        <v>0</v>
      </c>
      <c r="Q12" s="191">
        <v>0</v>
      </c>
      <c r="R12" s="191">
        <v>41</v>
      </c>
      <c r="S12" s="191">
        <v>141</v>
      </c>
      <c r="T12" s="191">
        <v>13</v>
      </c>
      <c r="U12" s="191">
        <v>0</v>
      </c>
      <c r="V12" s="191">
        <v>0</v>
      </c>
      <c r="W12" s="191">
        <v>0</v>
      </c>
      <c r="X12" s="190">
        <v>53</v>
      </c>
    </row>
    <row r="13" spans="1:25" ht="19.899999999999999" customHeight="1">
      <c r="A13" s="166"/>
      <c r="B13" s="383" t="s">
        <v>196</v>
      </c>
      <c r="C13" s="383"/>
      <c r="D13" s="386" t="s">
        <v>160</v>
      </c>
      <c r="E13" s="386"/>
      <c r="F13" s="386"/>
      <c r="G13" s="162"/>
      <c r="H13" s="161">
        <f t="shared" si="1"/>
        <v>247</v>
      </c>
      <c r="I13" s="192">
        <v>10</v>
      </c>
      <c r="J13" s="191">
        <v>19</v>
      </c>
      <c r="K13" s="191">
        <v>12</v>
      </c>
      <c r="L13" s="191">
        <v>68</v>
      </c>
      <c r="M13" s="191">
        <v>0</v>
      </c>
      <c r="N13" s="191">
        <v>1</v>
      </c>
      <c r="O13" s="191">
        <v>1</v>
      </c>
      <c r="P13" s="191">
        <v>0</v>
      </c>
      <c r="Q13" s="191">
        <v>0</v>
      </c>
      <c r="R13" s="191">
        <v>8</v>
      </c>
      <c r="S13" s="191">
        <v>36</v>
      </c>
      <c r="T13" s="191">
        <v>0</v>
      </c>
      <c r="U13" s="191">
        <v>0</v>
      </c>
      <c r="V13" s="191">
        <v>0</v>
      </c>
      <c r="W13" s="191">
        <v>0</v>
      </c>
      <c r="X13" s="190">
        <v>92</v>
      </c>
      <c r="Y13" s="259"/>
    </row>
    <row r="14" spans="1:25" ht="19.899999999999999" customHeight="1">
      <c r="A14" s="166"/>
      <c r="B14" s="383" t="s">
        <v>195</v>
      </c>
      <c r="C14" s="383"/>
      <c r="D14" s="386" t="s">
        <v>160</v>
      </c>
      <c r="E14" s="386"/>
      <c r="F14" s="386"/>
      <c r="G14" s="162"/>
      <c r="H14" s="161">
        <f t="shared" si="1"/>
        <v>828</v>
      </c>
      <c r="I14" s="192">
        <v>55</v>
      </c>
      <c r="J14" s="191">
        <v>159</v>
      </c>
      <c r="K14" s="191">
        <v>141</v>
      </c>
      <c r="L14" s="191">
        <v>135</v>
      </c>
      <c r="M14" s="191">
        <v>55</v>
      </c>
      <c r="N14" s="191">
        <v>0</v>
      </c>
      <c r="O14" s="191">
        <v>0</v>
      </c>
      <c r="P14" s="191">
        <v>0</v>
      </c>
      <c r="Q14" s="191">
        <v>0</v>
      </c>
      <c r="R14" s="191">
        <v>0</v>
      </c>
      <c r="S14" s="191">
        <v>124</v>
      </c>
      <c r="T14" s="191">
        <v>38</v>
      </c>
      <c r="U14" s="191">
        <v>0</v>
      </c>
      <c r="V14" s="191">
        <v>0</v>
      </c>
      <c r="W14" s="191">
        <v>0</v>
      </c>
      <c r="X14" s="190">
        <v>121</v>
      </c>
      <c r="Y14" s="259"/>
    </row>
    <row r="15" spans="1:25" ht="19.899999999999999" customHeight="1">
      <c r="A15" s="166"/>
      <c r="B15" s="383" t="s">
        <v>194</v>
      </c>
      <c r="C15" s="383"/>
      <c r="D15" s="386" t="s">
        <v>160</v>
      </c>
      <c r="E15" s="386"/>
      <c r="F15" s="386"/>
      <c r="G15" s="162"/>
      <c r="H15" s="161">
        <f t="shared" si="1"/>
        <v>592</v>
      </c>
      <c r="I15" s="192">
        <f>9+5</f>
        <v>14</v>
      </c>
      <c r="J15" s="191">
        <f>2+1</f>
        <v>3</v>
      </c>
      <c r="K15" s="191">
        <f>51+42</f>
        <v>93</v>
      </c>
      <c r="L15" s="191">
        <f>66+33</f>
        <v>99</v>
      </c>
      <c r="M15" s="191">
        <f>71+100</f>
        <v>171</v>
      </c>
      <c r="N15" s="191">
        <v>0</v>
      </c>
      <c r="O15" s="191">
        <f>0+1</f>
        <v>1</v>
      </c>
      <c r="P15" s="191">
        <v>1</v>
      </c>
      <c r="Q15" s="191">
        <f>1+5</f>
        <v>6</v>
      </c>
      <c r="R15" s="191">
        <f>0+1</f>
        <v>1</v>
      </c>
      <c r="S15" s="191">
        <f>50+60</f>
        <v>110</v>
      </c>
      <c r="T15" s="191">
        <f>16+10</f>
        <v>26</v>
      </c>
      <c r="U15" s="191">
        <f>0+4</f>
        <v>4</v>
      </c>
      <c r="V15" s="191">
        <v>0</v>
      </c>
      <c r="W15" s="191">
        <f>1+1</f>
        <v>2</v>
      </c>
      <c r="X15" s="190">
        <f>5+56</f>
        <v>61</v>
      </c>
    </row>
    <row r="16" spans="1:25" ht="19.899999999999999" customHeight="1">
      <c r="A16" s="166"/>
      <c r="B16" s="383" t="s">
        <v>193</v>
      </c>
      <c r="C16" s="383"/>
      <c r="D16" s="386" t="s">
        <v>160</v>
      </c>
      <c r="E16" s="386"/>
      <c r="F16" s="386"/>
      <c r="G16" s="162"/>
      <c r="H16" s="161">
        <f t="shared" si="1"/>
        <v>1266</v>
      </c>
      <c r="I16" s="192">
        <f>44+3</f>
        <v>47</v>
      </c>
      <c r="J16" s="191">
        <v>0</v>
      </c>
      <c r="K16" s="191">
        <f>53+45</f>
        <v>98</v>
      </c>
      <c r="L16" s="191">
        <f>104+38</f>
        <v>142</v>
      </c>
      <c r="M16" s="191">
        <f>178+93</f>
        <v>271</v>
      </c>
      <c r="N16" s="191">
        <v>189</v>
      </c>
      <c r="O16" s="191">
        <v>7</v>
      </c>
      <c r="P16" s="191">
        <v>1</v>
      </c>
      <c r="Q16" s="191">
        <f>197+4</f>
        <v>201</v>
      </c>
      <c r="R16" s="191">
        <v>2</v>
      </c>
      <c r="S16" s="191">
        <v>5</v>
      </c>
      <c r="T16" s="191">
        <f>0+5</f>
        <v>5</v>
      </c>
      <c r="U16" s="191">
        <v>21</v>
      </c>
      <c r="V16" s="191">
        <v>3</v>
      </c>
      <c r="W16" s="191">
        <f>0+1</f>
        <v>1</v>
      </c>
      <c r="X16" s="190">
        <f>236+37</f>
        <v>273</v>
      </c>
    </row>
    <row r="17" spans="1:24" ht="19.899999999999999" customHeight="1">
      <c r="A17" s="166"/>
      <c r="B17" s="383" t="s">
        <v>192</v>
      </c>
      <c r="C17" s="383"/>
      <c r="D17" s="386" t="s">
        <v>160</v>
      </c>
      <c r="E17" s="386"/>
      <c r="F17" s="386"/>
      <c r="G17" s="162"/>
      <c r="H17" s="161">
        <f t="shared" si="1"/>
        <v>791</v>
      </c>
      <c r="I17" s="192">
        <f>1+6</f>
        <v>7</v>
      </c>
      <c r="J17" s="191">
        <v>22</v>
      </c>
      <c r="K17" s="191">
        <f>50+62</f>
        <v>112</v>
      </c>
      <c r="L17" s="191">
        <f>62+68</f>
        <v>130</v>
      </c>
      <c r="M17" s="191">
        <f>7+32</f>
        <v>39</v>
      </c>
      <c r="N17" s="191">
        <v>0</v>
      </c>
      <c r="O17" s="191">
        <v>0</v>
      </c>
      <c r="P17" s="191">
        <f>0+47</f>
        <v>47</v>
      </c>
      <c r="Q17" s="191">
        <f>0+1</f>
        <v>1</v>
      </c>
      <c r="R17" s="191">
        <v>2</v>
      </c>
      <c r="S17" s="191">
        <f>13+2</f>
        <v>15</v>
      </c>
      <c r="T17" s="191">
        <v>0</v>
      </c>
      <c r="U17" s="191">
        <v>0</v>
      </c>
      <c r="V17" s="191">
        <v>0</v>
      </c>
      <c r="W17" s="191">
        <v>0</v>
      </c>
      <c r="X17" s="190">
        <f>250+166</f>
        <v>416</v>
      </c>
    </row>
    <row r="18" spans="1:24" ht="19.899999999999999" customHeight="1">
      <c r="A18" s="166"/>
      <c r="B18" s="383" t="s">
        <v>191</v>
      </c>
      <c r="C18" s="383"/>
      <c r="D18" s="386" t="s">
        <v>160</v>
      </c>
      <c r="E18" s="386"/>
      <c r="F18" s="386"/>
      <c r="G18" s="162"/>
      <c r="H18" s="161">
        <f t="shared" si="1"/>
        <v>2352</v>
      </c>
      <c r="I18" s="192">
        <f>3+6</f>
        <v>9</v>
      </c>
      <c r="J18" s="191">
        <f>31+93</f>
        <v>124</v>
      </c>
      <c r="K18" s="191">
        <f>121+129</f>
        <v>250</v>
      </c>
      <c r="L18" s="191">
        <f>67+79</f>
        <v>146</v>
      </c>
      <c r="M18" s="191">
        <f>240+92</f>
        <v>332</v>
      </c>
      <c r="N18" s="191">
        <v>0</v>
      </c>
      <c r="O18" s="191">
        <v>0</v>
      </c>
      <c r="P18" s="191">
        <v>0</v>
      </c>
      <c r="Q18" s="191">
        <v>2</v>
      </c>
      <c r="R18" s="191">
        <v>0</v>
      </c>
      <c r="S18" s="191">
        <f>14+45</f>
        <v>59</v>
      </c>
      <c r="T18" s="191">
        <f>0+1</f>
        <v>1</v>
      </c>
      <c r="U18" s="191">
        <v>0</v>
      </c>
      <c r="V18" s="191">
        <v>0</v>
      </c>
      <c r="W18" s="191">
        <v>0</v>
      </c>
      <c r="X18" s="190">
        <f>15+1414</f>
        <v>1429</v>
      </c>
    </row>
    <row r="19" spans="1:24" ht="19.899999999999999" customHeight="1">
      <c r="A19" s="166"/>
      <c r="B19" s="383" t="s">
        <v>190</v>
      </c>
      <c r="C19" s="383"/>
      <c r="D19" s="389" t="s">
        <v>111</v>
      </c>
      <c r="E19" s="389"/>
      <c r="F19" s="389"/>
      <c r="G19" s="162"/>
      <c r="H19" s="161">
        <f t="shared" si="1"/>
        <v>157</v>
      </c>
      <c r="I19" s="192">
        <v>2</v>
      </c>
      <c r="J19" s="191">
        <v>0</v>
      </c>
      <c r="K19" s="191">
        <v>0</v>
      </c>
      <c r="L19" s="191">
        <v>12</v>
      </c>
      <c r="M19" s="191">
        <v>66</v>
      </c>
      <c r="N19" s="191">
        <v>7</v>
      </c>
      <c r="O19" s="191">
        <v>1</v>
      </c>
      <c r="P19" s="191">
        <v>30</v>
      </c>
      <c r="Q19" s="191">
        <v>14</v>
      </c>
      <c r="R19" s="191">
        <v>0</v>
      </c>
      <c r="S19" s="191">
        <v>5</v>
      </c>
      <c r="T19" s="191">
        <v>0</v>
      </c>
      <c r="U19" s="191">
        <v>8</v>
      </c>
      <c r="V19" s="191">
        <v>0</v>
      </c>
      <c r="W19" s="191">
        <v>0</v>
      </c>
      <c r="X19" s="190">
        <v>12</v>
      </c>
    </row>
    <row r="20" spans="1:24" ht="19.899999999999999" customHeight="1">
      <c r="A20" s="166"/>
      <c r="B20" s="383" t="s">
        <v>189</v>
      </c>
      <c r="C20" s="383"/>
      <c r="D20" s="386" t="s">
        <v>142</v>
      </c>
      <c r="E20" s="386"/>
      <c r="F20" s="386"/>
      <c r="G20" s="162"/>
      <c r="H20" s="161">
        <f t="shared" si="1"/>
        <v>87</v>
      </c>
      <c r="I20" s="192">
        <v>2</v>
      </c>
      <c r="J20" s="191">
        <v>0</v>
      </c>
      <c r="K20" s="191">
        <v>0</v>
      </c>
      <c r="L20" s="191">
        <v>4</v>
      </c>
      <c r="M20" s="191">
        <v>46</v>
      </c>
      <c r="N20" s="191">
        <v>11</v>
      </c>
      <c r="O20" s="191">
        <v>2</v>
      </c>
      <c r="P20" s="191">
        <v>6</v>
      </c>
      <c r="Q20" s="191">
        <v>3</v>
      </c>
      <c r="R20" s="191">
        <v>0</v>
      </c>
      <c r="S20" s="191">
        <v>1</v>
      </c>
      <c r="T20" s="191">
        <v>0</v>
      </c>
      <c r="U20" s="191">
        <v>3</v>
      </c>
      <c r="V20" s="191">
        <v>0</v>
      </c>
      <c r="W20" s="191">
        <v>0</v>
      </c>
      <c r="X20" s="190">
        <v>9</v>
      </c>
    </row>
    <row r="21" spans="1:24" ht="19.899999999999999" customHeight="1">
      <c r="A21" s="166"/>
      <c r="B21" s="383" t="s">
        <v>188</v>
      </c>
      <c r="C21" s="383"/>
      <c r="D21" s="386" t="s">
        <v>142</v>
      </c>
      <c r="E21" s="386"/>
      <c r="F21" s="386"/>
      <c r="G21" s="162"/>
      <c r="H21" s="161">
        <f t="shared" si="1"/>
        <v>163</v>
      </c>
      <c r="I21" s="192">
        <v>3</v>
      </c>
      <c r="J21" s="191">
        <v>0</v>
      </c>
      <c r="K21" s="191">
        <v>2</v>
      </c>
      <c r="L21" s="191">
        <v>10</v>
      </c>
      <c r="M21" s="191">
        <v>43</v>
      </c>
      <c r="N21" s="191">
        <v>36</v>
      </c>
      <c r="O21" s="191">
        <v>1</v>
      </c>
      <c r="P21" s="191">
        <v>9</v>
      </c>
      <c r="Q21" s="191">
        <v>18</v>
      </c>
      <c r="R21" s="191">
        <v>3</v>
      </c>
      <c r="S21" s="191">
        <v>4</v>
      </c>
      <c r="T21" s="191">
        <v>0</v>
      </c>
      <c r="U21" s="191">
        <v>1</v>
      </c>
      <c r="V21" s="191">
        <v>0</v>
      </c>
      <c r="W21" s="191">
        <v>0</v>
      </c>
      <c r="X21" s="190">
        <f>11+22</f>
        <v>33</v>
      </c>
    </row>
    <row r="22" spans="1:24" ht="19.899999999999999" customHeight="1">
      <c r="A22" s="166"/>
      <c r="B22" s="383" t="s">
        <v>187</v>
      </c>
      <c r="C22" s="383"/>
      <c r="D22" s="386" t="s">
        <v>186</v>
      </c>
      <c r="E22" s="386"/>
      <c r="F22" s="386"/>
      <c r="G22" s="162"/>
      <c r="H22" s="161">
        <f t="shared" si="1"/>
        <v>130</v>
      </c>
      <c r="I22" s="192">
        <v>2</v>
      </c>
      <c r="J22" s="191">
        <v>0</v>
      </c>
      <c r="K22" s="191">
        <v>1</v>
      </c>
      <c r="L22" s="191">
        <v>4</v>
      </c>
      <c r="M22" s="191">
        <v>56</v>
      </c>
      <c r="N22" s="191">
        <v>17</v>
      </c>
      <c r="O22" s="191">
        <v>1</v>
      </c>
      <c r="P22" s="191">
        <v>16</v>
      </c>
      <c r="Q22" s="191">
        <v>19</v>
      </c>
      <c r="R22" s="191">
        <v>0</v>
      </c>
      <c r="S22" s="191">
        <v>3</v>
      </c>
      <c r="T22" s="191">
        <v>0</v>
      </c>
      <c r="U22" s="191">
        <v>2</v>
      </c>
      <c r="V22" s="191">
        <v>0</v>
      </c>
      <c r="W22" s="191">
        <v>0</v>
      </c>
      <c r="X22" s="190">
        <v>9</v>
      </c>
    </row>
    <row r="23" spans="1:24" ht="19.899999999999999" customHeight="1">
      <c r="A23" s="166"/>
      <c r="B23" s="383" t="s">
        <v>185</v>
      </c>
      <c r="C23" s="383"/>
      <c r="D23" s="386" t="s">
        <v>182</v>
      </c>
      <c r="E23" s="386"/>
      <c r="F23" s="386"/>
      <c r="G23" s="162"/>
      <c r="H23" s="161">
        <f t="shared" si="1"/>
        <v>27</v>
      </c>
      <c r="I23" s="192">
        <v>0</v>
      </c>
      <c r="J23" s="191">
        <v>0</v>
      </c>
      <c r="K23" s="191">
        <v>0</v>
      </c>
      <c r="L23" s="191">
        <v>2</v>
      </c>
      <c r="M23" s="191">
        <v>6</v>
      </c>
      <c r="N23" s="191">
        <v>6</v>
      </c>
      <c r="O23" s="191">
        <v>1</v>
      </c>
      <c r="P23" s="191">
        <v>4</v>
      </c>
      <c r="Q23" s="191">
        <v>1</v>
      </c>
      <c r="R23" s="191">
        <v>0</v>
      </c>
      <c r="S23" s="191">
        <v>1</v>
      </c>
      <c r="T23" s="191">
        <v>0</v>
      </c>
      <c r="U23" s="191">
        <v>1</v>
      </c>
      <c r="V23" s="191">
        <v>0</v>
      </c>
      <c r="W23" s="191">
        <v>0</v>
      </c>
      <c r="X23" s="190">
        <v>5</v>
      </c>
    </row>
    <row r="24" spans="1:24" ht="19.899999999999999" customHeight="1">
      <c r="A24" s="166"/>
      <c r="B24" s="383" t="s">
        <v>184</v>
      </c>
      <c r="C24" s="383"/>
      <c r="D24" s="386" t="s">
        <v>182</v>
      </c>
      <c r="E24" s="386"/>
      <c r="F24" s="386"/>
      <c r="G24" s="162"/>
      <c r="H24" s="161">
        <f t="shared" si="1"/>
        <v>82</v>
      </c>
      <c r="I24" s="192">
        <v>3</v>
      </c>
      <c r="J24" s="191">
        <v>0</v>
      </c>
      <c r="K24" s="191">
        <v>1</v>
      </c>
      <c r="L24" s="191">
        <v>2</v>
      </c>
      <c r="M24" s="191">
        <v>15</v>
      </c>
      <c r="N24" s="191">
        <v>33</v>
      </c>
      <c r="O24" s="191">
        <v>1</v>
      </c>
      <c r="P24" s="191">
        <v>6</v>
      </c>
      <c r="Q24" s="191">
        <v>12</v>
      </c>
      <c r="R24" s="191">
        <v>0</v>
      </c>
      <c r="S24" s="191">
        <v>1</v>
      </c>
      <c r="T24" s="191">
        <v>0</v>
      </c>
      <c r="U24" s="191">
        <v>2</v>
      </c>
      <c r="V24" s="191">
        <v>0</v>
      </c>
      <c r="W24" s="191">
        <v>0</v>
      </c>
      <c r="X24" s="190">
        <v>6</v>
      </c>
    </row>
    <row r="25" spans="1:24" ht="19.899999999999999" customHeight="1">
      <c r="A25" s="166"/>
      <c r="B25" s="383" t="s">
        <v>183</v>
      </c>
      <c r="C25" s="383"/>
      <c r="D25" s="386" t="s">
        <v>182</v>
      </c>
      <c r="E25" s="386"/>
      <c r="F25" s="386"/>
      <c r="G25" s="162"/>
      <c r="H25" s="161">
        <f t="shared" si="1"/>
        <v>36</v>
      </c>
      <c r="I25" s="192">
        <v>0</v>
      </c>
      <c r="J25" s="191">
        <v>0</v>
      </c>
      <c r="K25" s="191">
        <v>1</v>
      </c>
      <c r="L25" s="191">
        <v>4</v>
      </c>
      <c r="M25" s="191">
        <v>3</v>
      </c>
      <c r="N25" s="191">
        <v>11</v>
      </c>
      <c r="O25" s="191">
        <v>1</v>
      </c>
      <c r="P25" s="191">
        <v>2</v>
      </c>
      <c r="Q25" s="191">
        <v>11</v>
      </c>
      <c r="R25" s="191">
        <v>0</v>
      </c>
      <c r="S25" s="191">
        <v>2</v>
      </c>
      <c r="T25" s="191">
        <v>0</v>
      </c>
      <c r="U25" s="191">
        <v>1</v>
      </c>
      <c r="V25" s="191">
        <v>0</v>
      </c>
      <c r="W25" s="191">
        <v>0</v>
      </c>
      <c r="X25" s="190">
        <v>0</v>
      </c>
    </row>
    <row r="26" spans="1:24" ht="19.899999999999999" customHeight="1" thickBot="1">
      <c r="A26" s="157"/>
      <c r="B26" s="387" t="s">
        <v>181</v>
      </c>
      <c r="C26" s="387"/>
      <c r="D26" s="388" t="s">
        <v>92</v>
      </c>
      <c r="E26" s="388"/>
      <c r="F26" s="388"/>
      <c r="G26" s="154"/>
      <c r="H26" s="153">
        <f t="shared" si="1"/>
        <v>38</v>
      </c>
      <c r="I26" s="257">
        <v>3</v>
      </c>
      <c r="J26" s="256">
        <v>0</v>
      </c>
      <c r="K26" s="256">
        <v>0</v>
      </c>
      <c r="L26" s="256">
        <v>1</v>
      </c>
      <c r="M26" s="256">
        <v>13</v>
      </c>
      <c r="N26" s="256">
        <v>10</v>
      </c>
      <c r="O26" s="256">
        <v>1</v>
      </c>
      <c r="P26" s="256">
        <v>4</v>
      </c>
      <c r="Q26" s="256">
        <v>1</v>
      </c>
      <c r="R26" s="256">
        <v>0</v>
      </c>
      <c r="S26" s="256">
        <v>1</v>
      </c>
      <c r="T26" s="256">
        <v>0</v>
      </c>
      <c r="U26" s="256">
        <v>3</v>
      </c>
      <c r="V26" s="256">
        <v>0</v>
      </c>
      <c r="W26" s="256">
        <v>0</v>
      </c>
      <c r="X26" s="255">
        <v>1</v>
      </c>
    </row>
    <row r="27" spans="1:24" s="209" customFormat="1" ht="7.5" customHeight="1" thickBot="1">
      <c r="A27" s="149"/>
      <c r="B27" s="197"/>
      <c r="C27" s="197"/>
      <c r="D27" s="197"/>
      <c r="E27" s="196"/>
      <c r="F27" s="146"/>
      <c r="G27" s="145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W27" s="144"/>
      <c r="X27" s="144"/>
    </row>
    <row r="28" spans="1:24" s="149" customFormat="1" ht="7.15" customHeight="1">
      <c r="A28" s="373" t="s">
        <v>211</v>
      </c>
      <c r="B28" s="374"/>
      <c r="C28" s="374"/>
      <c r="D28" s="374"/>
      <c r="E28" s="374"/>
      <c r="F28" s="374"/>
      <c r="G28" s="375"/>
      <c r="H28" s="172"/>
      <c r="I28" s="254"/>
      <c r="J28" s="243"/>
      <c r="K28" s="243"/>
      <c r="L28" s="243"/>
      <c r="M28" s="243"/>
      <c r="N28" s="243"/>
      <c r="O28" s="243"/>
      <c r="P28" s="243"/>
      <c r="Q28" s="243"/>
      <c r="R28" s="243"/>
      <c r="S28" s="243"/>
      <c r="T28" s="243"/>
      <c r="U28" s="243"/>
      <c r="V28" s="243"/>
      <c r="W28" s="243"/>
      <c r="X28" s="242"/>
    </row>
    <row r="29" spans="1:24" s="143" customFormat="1" ht="54" customHeight="1">
      <c r="A29" s="376"/>
      <c r="B29" s="377"/>
      <c r="C29" s="377"/>
      <c r="D29" s="377"/>
      <c r="E29" s="377"/>
      <c r="F29" s="377"/>
      <c r="G29" s="378"/>
      <c r="H29" s="237" t="s">
        <v>16</v>
      </c>
      <c r="I29" s="252" t="s">
        <v>15</v>
      </c>
      <c r="J29" s="250" t="s">
        <v>14</v>
      </c>
      <c r="K29" s="250" t="s">
        <v>13</v>
      </c>
      <c r="L29" s="250" t="s">
        <v>12</v>
      </c>
      <c r="M29" s="250" t="s">
        <v>11</v>
      </c>
      <c r="N29" s="250" t="s">
        <v>10</v>
      </c>
      <c r="O29" s="250" t="s">
        <v>9</v>
      </c>
      <c r="P29" s="250" t="s">
        <v>8</v>
      </c>
      <c r="Q29" s="250" t="s">
        <v>7</v>
      </c>
      <c r="R29" s="250" t="s">
        <v>6</v>
      </c>
      <c r="S29" s="251" t="s">
        <v>5</v>
      </c>
      <c r="T29" s="250" t="s">
        <v>4</v>
      </c>
      <c r="U29" s="250" t="s">
        <v>3</v>
      </c>
      <c r="V29" s="250" t="s">
        <v>2</v>
      </c>
      <c r="W29" s="250" t="s">
        <v>1</v>
      </c>
      <c r="X29" s="249" t="s">
        <v>0</v>
      </c>
    </row>
    <row r="30" spans="1:24" s="143" customFormat="1" ht="6" customHeight="1" thickBot="1">
      <c r="A30" s="379"/>
      <c r="B30" s="380"/>
      <c r="C30" s="380"/>
      <c r="D30" s="380"/>
      <c r="E30" s="380"/>
      <c r="F30" s="380"/>
      <c r="G30" s="381"/>
      <c r="H30" s="179"/>
      <c r="I30" s="248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246"/>
      <c r="U30" s="246"/>
      <c r="V30" s="246"/>
      <c r="W30" s="246"/>
      <c r="X30" s="245"/>
    </row>
    <row r="31" spans="1:24" s="143" customFormat="1" ht="15" customHeight="1">
      <c r="A31" s="174"/>
      <c r="B31" s="365"/>
      <c r="C31" s="365"/>
      <c r="D31" s="365"/>
      <c r="E31" s="365"/>
      <c r="F31" s="365"/>
      <c r="G31" s="173"/>
      <c r="H31" s="258">
        <f t="shared" ref="H31:H54" si="2">SUM(I31:X31)</f>
        <v>0</v>
      </c>
      <c r="I31" s="244" t="s">
        <v>34</v>
      </c>
      <c r="J31" s="243" t="s">
        <v>34</v>
      </c>
      <c r="K31" s="243" t="s">
        <v>34</v>
      </c>
      <c r="L31" s="243" t="s">
        <v>34</v>
      </c>
      <c r="M31" s="243" t="s">
        <v>34</v>
      </c>
      <c r="N31" s="243" t="s">
        <v>34</v>
      </c>
      <c r="O31" s="243" t="s">
        <v>34</v>
      </c>
      <c r="P31" s="243" t="s">
        <v>34</v>
      </c>
      <c r="Q31" s="243" t="s">
        <v>34</v>
      </c>
      <c r="R31" s="243" t="s">
        <v>34</v>
      </c>
      <c r="S31" s="243" t="s">
        <v>34</v>
      </c>
      <c r="T31" s="243" t="s">
        <v>34</v>
      </c>
      <c r="U31" s="243" t="s">
        <v>34</v>
      </c>
      <c r="V31" s="243" t="s">
        <v>34</v>
      </c>
      <c r="W31" s="243" t="s">
        <v>34</v>
      </c>
      <c r="X31" s="242" t="s">
        <v>34</v>
      </c>
    </row>
    <row r="32" spans="1:24" ht="19.899999999999999" customHeight="1">
      <c r="A32" s="166"/>
      <c r="B32" s="383" t="s">
        <v>180</v>
      </c>
      <c r="C32" s="383"/>
      <c r="D32" s="389" t="s">
        <v>111</v>
      </c>
      <c r="E32" s="389"/>
      <c r="F32" s="389"/>
      <c r="G32" s="162"/>
      <c r="H32" s="161">
        <f t="shared" si="2"/>
        <v>94</v>
      </c>
      <c r="I32" s="192">
        <v>0</v>
      </c>
      <c r="J32" s="191">
        <v>0</v>
      </c>
      <c r="K32" s="191">
        <v>0</v>
      </c>
      <c r="L32" s="191">
        <v>7</v>
      </c>
      <c r="M32" s="191">
        <v>0</v>
      </c>
      <c r="N32" s="191">
        <v>16</v>
      </c>
      <c r="O32" s="191">
        <v>0</v>
      </c>
      <c r="P32" s="191">
        <v>1</v>
      </c>
      <c r="Q32" s="191">
        <v>1</v>
      </c>
      <c r="R32" s="191">
        <v>0</v>
      </c>
      <c r="S32" s="191">
        <v>1</v>
      </c>
      <c r="T32" s="191">
        <v>0</v>
      </c>
      <c r="U32" s="191">
        <v>1</v>
      </c>
      <c r="V32" s="191">
        <v>0</v>
      </c>
      <c r="W32" s="191">
        <v>0</v>
      </c>
      <c r="X32" s="190">
        <v>67</v>
      </c>
    </row>
    <row r="33" spans="1:24" ht="19.899999999999999" customHeight="1">
      <c r="A33" s="166"/>
      <c r="B33" s="383" t="s">
        <v>179</v>
      </c>
      <c r="C33" s="383"/>
      <c r="D33" s="386" t="s">
        <v>130</v>
      </c>
      <c r="E33" s="386"/>
      <c r="F33" s="386"/>
      <c r="G33" s="162"/>
      <c r="H33" s="161">
        <f t="shared" si="2"/>
        <v>33</v>
      </c>
      <c r="I33" s="192">
        <v>1</v>
      </c>
      <c r="J33" s="191">
        <v>0</v>
      </c>
      <c r="K33" s="191">
        <v>0</v>
      </c>
      <c r="L33" s="191">
        <v>1</v>
      </c>
      <c r="M33" s="191">
        <v>5</v>
      </c>
      <c r="N33" s="191">
        <v>10</v>
      </c>
      <c r="O33" s="191">
        <v>0</v>
      </c>
      <c r="P33" s="191">
        <v>0</v>
      </c>
      <c r="Q33" s="191">
        <v>10</v>
      </c>
      <c r="R33" s="191">
        <v>0</v>
      </c>
      <c r="S33" s="191">
        <v>0</v>
      </c>
      <c r="T33" s="191">
        <v>0</v>
      </c>
      <c r="U33" s="191">
        <v>4</v>
      </c>
      <c r="V33" s="191">
        <v>0</v>
      </c>
      <c r="W33" s="191">
        <v>0</v>
      </c>
      <c r="X33" s="190">
        <v>2</v>
      </c>
    </row>
    <row r="34" spans="1:24" ht="19.899999999999999" customHeight="1">
      <c r="A34" s="166"/>
      <c r="B34" s="383" t="s">
        <v>178</v>
      </c>
      <c r="C34" s="383"/>
      <c r="D34" s="386" t="s">
        <v>130</v>
      </c>
      <c r="E34" s="386"/>
      <c r="F34" s="386"/>
      <c r="G34" s="162"/>
      <c r="H34" s="161">
        <f t="shared" si="2"/>
        <v>82</v>
      </c>
      <c r="I34" s="192">
        <v>7</v>
      </c>
      <c r="J34" s="191">
        <v>0</v>
      </c>
      <c r="K34" s="191">
        <v>0</v>
      </c>
      <c r="L34" s="191">
        <v>6</v>
      </c>
      <c r="M34" s="191">
        <v>4</v>
      </c>
      <c r="N34" s="191">
        <v>23</v>
      </c>
      <c r="O34" s="191">
        <v>6</v>
      </c>
      <c r="P34" s="191">
        <v>1</v>
      </c>
      <c r="Q34" s="191">
        <v>22</v>
      </c>
      <c r="R34" s="191">
        <v>1</v>
      </c>
      <c r="S34" s="191">
        <v>2</v>
      </c>
      <c r="T34" s="191">
        <v>0</v>
      </c>
      <c r="U34" s="191">
        <v>1</v>
      </c>
      <c r="V34" s="191">
        <v>0</v>
      </c>
      <c r="W34" s="191">
        <v>0</v>
      </c>
      <c r="X34" s="190">
        <v>9</v>
      </c>
    </row>
    <row r="35" spans="1:24" ht="19.899999999999999" customHeight="1">
      <c r="A35" s="166"/>
      <c r="B35" s="383" t="s">
        <v>177</v>
      </c>
      <c r="C35" s="383"/>
      <c r="D35" s="386" t="s">
        <v>105</v>
      </c>
      <c r="E35" s="386"/>
      <c r="F35" s="386"/>
      <c r="G35" s="162"/>
      <c r="H35" s="161">
        <f t="shared" si="2"/>
        <v>28</v>
      </c>
      <c r="I35" s="192">
        <v>0</v>
      </c>
      <c r="J35" s="191">
        <v>0</v>
      </c>
      <c r="K35" s="191">
        <v>0</v>
      </c>
      <c r="L35" s="191">
        <v>0</v>
      </c>
      <c r="M35" s="191">
        <v>0</v>
      </c>
      <c r="N35" s="191">
        <v>22</v>
      </c>
      <c r="O35" s="191">
        <v>0</v>
      </c>
      <c r="P35" s="191">
        <v>0</v>
      </c>
      <c r="Q35" s="191">
        <v>0</v>
      </c>
      <c r="R35" s="191">
        <v>0</v>
      </c>
      <c r="S35" s="191">
        <v>3</v>
      </c>
      <c r="T35" s="191">
        <v>0</v>
      </c>
      <c r="U35" s="191">
        <v>0</v>
      </c>
      <c r="V35" s="191">
        <v>0</v>
      </c>
      <c r="W35" s="191">
        <v>0</v>
      </c>
      <c r="X35" s="190">
        <v>3</v>
      </c>
    </row>
    <row r="36" spans="1:24" ht="19.899999999999999" customHeight="1">
      <c r="A36" s="166"/>
      <c r="B36" s="383" t="s">
        <v>176</v>
      </c>
      <c r="C36" s="383"/>
      <c r="D36" s="386" t="s">
        <v>119</v>
      </c>
      <c r="E36" s="386"/>
      <c r="F36" s="386"/>
      <c r="G36" s="162"/>
      <c r="H36" s="161">
        <f t="shared" si="2"/>
        <v>191</v>
      </c>
      <c r="I36" s="192">
        <v>1</v>
      </c>
      <c r="J36" s="191">
        <v>0</v>
      </c>
      <c r="K36" s="191">
        <v>0</v>
      </c>
      <c r="L36" s="191">
        <v>7</v>
      </c>
      <c r="M36" s="191">
        <v>49</v>
      </c>
      <c r="N36" s="191">
        <v>53</v>
      </c>
      <c r="O36" s="191">
        <v>4</v>
      </c>
      <c r="P36" s="191">
        <v>3</v>
      </c>
      <c r="Q36" s="191">
        <v>54</v>
      </c>
      <c r="R36" s="191">
        <v>0</v>
      </c>
      <c r="S36" s="191">
        <v>3</v>
      </c>
      <c r="T36" s="191">
        <v>0</v>
      </c>
      <c r="U36" s="191">
        <v>10</v>
      </c>
      <c r="V36" s="191">
        <v>0</v>
      </c>
      <c r="W36" s="191">
        <v>0</v>
      </c>
      <c r="X36" s="190">
        <v>7</v>
      </c>
    </row>
    <row r="37" spans="1:24" ht="19.899999999999999" customHeight="1">
      <c r="A37" s="166"/>
      <c r="B37" s="383" t="s">
        <v>175</v>
      </c>
      <c r="C37" s="383"/>
      <c r="D37" s="386" t="s">
        <v>172</v>
      </c>
      <c r="E37" s="386"/>
      <c r="F37" s="386"/>
      <c r="G37" s="162"/>
      <c r="H37" s="161">
        <f t="shared" si="2"/>
        <v>38</v>
      </c>
      <c r="I37" s="192">
        <v>3</v>
      </c>
      <c r="J37" s="191">
        <v>0</v>
      </c>
      <c r="K37" s="191">
        <v>0</v>
      </c>
      <c r="L37" s="191">
        <v>5</v>
      </c>
      <c r="M37" s="191">
        <v>4</v>
      </c>
      <c r="N37" s="191">
        <v>14</v>
      </c>
      <c r="O37" s="191">
        <v>0</v>
      </c>
      <c r="P37" s="191">
        <v>3</v>
      </c>
      <c r="Q37" s="191">
        <v>8</v>
      </c>
      <c r="R37" s="191">
        <v>0</v>
      </c>
      <c r="S37" s="191">
        <v>0</v>
      </c>
      <c r="T37" s="191">
        <v>0</v>
      </c>
      <c r="U37" s="191">
        <v>0</v>
      </c>
      <c r="V37" s="191">
        <v>0</v>
      </c>
      <c r="W37" s="191">
        <v>0</v>
      </c>
      <c r="X37" s="190">
        <v>1</v>
      </c>
    </row>
    <row r="38" spans="1:24" ht="19.899999999999999" customHeight="1">
      <c r="A38" s="166"/>
      <c r="B38" s="383" t="s">
        <v>174</v>
      </c>
      <c r="C38" s="383"/>
      <c r="D38" s="386" t="s">
        <v>172</v>
      </c>
      <c r="E38" s="386"/>
      <c r="F38" s="386"/>
      <c r="G38" s="162"/>
      <c r="H38" s="161">
        <f t="shared" si="2"/>
        <v>93</v>
      </c>
      <c r="I38" s="192">
        <v>7</v>
      </c>
      <c r="J38" s="191">
        <v>0</v>
      </c>
      <c r="K38" s="191">
        <v>0</v>
      </c>
      <c r="L38" s="191">
        <v>5</v>
      </c>
      <c r="M38" s="191">
        <v>28</v>
      </c>
      <c r="N38" s="191">
        <v>31</v>
      </c>
      <c r="O38" s="191">
        <v>3</v>
      </c>
      <c r="P38" s="191">
        <v>3</v>
      </c>
      <c r="Q38" s="191">
        <v>13</v>
      </c>
      <c r="R38" s="191">
        <v>0</v>
      </c>
      <c r="S38" s="191">
        <v>2</v>
      </c>
      <c r="T38" s="191">
        <v>0</v>
      </c>
      <c r="U38" s="191">
        <v>0</v>
      </c>
      <c r="V38" s="191">
        <v>0</v>
      </c>
      <c r="W38" s="191">
        <v>0</v>
      </c>
      <c r="X38" s="190">
        <v>1</v>
      </c>
    </row>
    <row r="39" spans="1:24" ht="19.899999999999999" customHeight="1">
      <c r="A39" s="166"/>
      <c r="B39" s="383" t="s">
        <v>173</v>
      </c>
      <c r="C39" s="383"/>
      <c r="D39" s="386" t="s">
        <v>172</v>
      </c>
      <c r="E39" s="386"/>
      <c r="F39" s="386"/>
      <c r="G39" s="162"/>
      <c r="H39" s="161">
        <f t="shared" si="2"/>
        <v>74</v>
      </c>
      <c r="I39" s="192">
        <f>0+1</f>
        <v>1</v>
      </c>
      <c r="J39" s="191">
        <f>0+20</f>
        <v>20</v>
      </c>
      <c r="K39" s="191">
        <v>0</v>
      </c>
      <c r="L39" s="191">
        <f>8+4</f>
        <v>12</v>
      </c>
      <c r="M39" s="191">
        <v>5</v>
      </c>
      <c r="N39" s="191">
        <v>10</v>
      </c>
      <c r="O39" s="191">
        <v>0</v>
      </c>
      <c r="P39" s="191">
        <v>2</v>
      </c>
      <c r="Q39" s="191">
        <v>4</v>
      </c>
      <c r="R39" s="191">
        <v>0</v>
      </c>
      <c r="S39" s="191">
        <f>0+18</f>
        <v>18</v>
      </c>
      <c r="T39" s="191">
        <v>0</v>
      </c>
      <c r="U39" s="191">
        <v>0</v>
      </c>
      <c r="V39" s="191">
        <v>0</v>
      </c>
      <c r="W39" s="191">
        <v>0</v>
      </c>
      <c r="X39" s="190">
        <f>0+2</f>
        <v>2</v>
      </c>
    </row>
    <row r="40" spans="1:24" ht="19.899999999999999" customHeight="1">
      <c r="A40" s="166"/>
      <c r="B40" s="383" t="s">
        <v>171</v>
      </c>
      <c r="C40" s="383"/>
      <c r="D40" s="386" t="s">
        <v>164</v>
      </c>
      <c r="E40" s="386"/>
      <c r="F40" s="386"/>
      <c r="G40" s="162"/>
      <c r="H40" s="161">
        <f t="shared" si="2"/>
        <v>3482</v>
      </c>
      <c r="I40" s="192">
        <f>8+1</f>
        <v>9</v>
      </c>
      <c r="J40" s="191">
        <v>0</v>
      </c>
      <c r="K40" s="191">
        <v>0</v>
      </c>
      <c r="L40" s="191">
        <f>9+2</f>
        <v>11</v>
      </c>
      <c r="M40" s="191">
        <v>3</v>
      </c>
      <c r="N40" s="191">
        <f>25+3</f>
        <v>28</v>
      </c>
      <c r="O40" s="191">
        <v>0</v>
      </c>
      <c r="P40" s="191">
        <v>1</v>
      </c>
      <c r="Q40" s="191">
        <f>17+1</f>
        <v>18</v>
      </c>
      <c r="R40" s="191">
        <v>1</v>
      </c>
      <c r="S40" s="191">
        <f>5+3264</f>
        <v>3269</v>
      </c>
      <c r="T40" s="191">
        <v>0</v>
      </c>
      <c r="U40" s="191">
        <v>1</v>
      </c>
      <c r="V40" s="191">
        <v>0</v>
      </c>
      <c r="W40" s="191">
        <v>0</v>
      </c>
      <c r="X40" s="190">
        <f>3+138</f>
        <v>141</v>
      </c>
    </row>
    <row r="41" spans="1:24" ht="19.899999999999999" customHeight="1">
      <c r="A41" s="166"/>
      <c r="B41" s="383" t="s">
        <v>170</v>
      </c>
      <c r="C41" s="383"/>
      <c r="D41" s="386" t="s">
        <v>164</v>
      </c>
      <c r="E41" s="386"/>
      <c r="F41" s="386"/>
      <c r="G41" s="162"/>
      <c r="H41" s="161">
        <f t="shared" si="2"/>
        <v>21</v>
      </c>
      <c r="I41" s="192">
        <v>2</v>
      </c>
      <c r="J41" s="191">
        <v>0</v>
      </c>
      <c r="K41" s="191">
        <v>0</v>
      </c>
      <c r="L41" s="191">
        <v>5</v>
      </c>
      <c r="M41" s="191">
        <v>1</v>
      </c>
      <c r="N41" s="191">
        <v>8</v>
      </c>
      <c r="O41" s="191">
        <v>0</v>
      </c>
      <c r="P41" s="191">
        <v>0</v>
      </c>
      <c r="Q41" s="191">
        <v>2</v>
      </c>
      <c r="R41" s="191">
        <v>0</v>
      </c>
      <c r="S41" s="191">
        <v>1</v>
      </c>
      <c r="T41" s="191">
        <v>0</v>
      </c>
      <c r="U41" s="191">
        <v>2</v>
      </c>
      <c r="V41" s="191">
        <v>0</v>
      </c>
      <c r="W41" s="191">
        <v>0</v>
      </c>
      <c r="X41" s="190">
        <v>0</v>
      </c>
    </row>
    <row r="42" spans="1:24" ht="19.899999999999999" customHeight="1">
      <c r="A42" s="166"/>
      <c r="B42" s="383" t="s">
        <v>169</v>
      </c>
      <c r="C42" s="383"/>
      <c r="D42" s="386" t="s">
        <v>164</v>
      </c>
      <c r="E42" s="386"/>
      <c r="F42" s="386"/>
      <c r="G42" s="162"/>
      <c r="H42" s="161">
        <f t="shared" si="2"/>
        <v>492</v>
      </c>
      <c r="I42" s="192">
        <v>6</v>
      </c>
      <c r="J42" s="191">
        <f>0+86</f>
        <v>86</v>
      </c>
      <c r="K42" s="191">
        <f>0</f>
        <v>0</v>
      </c>
      <c r="L42" s="191">
        <f>15+10</f>
        <v>25</v>
      </c>
      <c r="M42" s="191">
        <v>1</v>
      </c>
      <c r="N42" s="191">
        <v>93</v>
      </c>
      <c r="O42" s="191">
        <v>0</v>
      </c>
      <c r="P42" s="191">
        <v>0</v>
      </c>
      <c r="Q42" s="191">
        <v>8</v>
      </c>
      <c r="R42" s="191">
        <v>2</v>
      </c>
      <c r="S42" s="191">
        <f>9+5</f>
        <v>14</v>
      </c>
      <c r="T42" s="191">
        <v>0</v>
      </c>
      <c r="U42" s="191">
        <v>0</v>
      </c>
      <c r="V42" s="191">
        <v>0</v>
      </c>
      <c r="W42" s="191">
        <v>0</v>
      </c>
      <c r="X42" s="190">
        <f>0+257</f>
        <v>257</v>
      </c>
    </row>
    <row r="43" spans="1:24" ht="19.899999999999999" customHeight="1">
      <c r="A43" s="166"/>
      <c r="B43" s="383" t="s">
        <v>167</v>
      </c>
      <c r="C43" s="383"/>
      <c r="D43" s="386" t="s">
        <v>164</v>
      </c>
      <c r="E43" s="386"/>
      <c r="F43" s="386"/>
      <c r="G43" s="162"/>
      <c r="H43" s="161">
        <f t="shared" si="2"/>
        <v>32146</v>
      </c>
      <c r="I43" s="192">
        <v>10</v>
      </c>
      <c r="J43" s="191">
        <v>0</v>
      </c>
      <c r="K43" s="191">
        <v>0</v>
      </c>
      <c r="L43" s="191">
        <f>17+3</f>
        <v>20</v>
      </c>
      <c r="M43" s="191">
        <v>8</v>
      </c>
      <c r="N43" s="191">
        <f>15+3</f>
        <v>18</v>
      </c>
      <c r="O43" s="191">
        <v>2</v>
      </c>
      <c r="P43" s="191">
        <v>0</v>
      </c>
      <c r="Q43" s="191">
        <v>5</v>
      </c>
      <c r="R43" s="191">
        <v>0</v>
      </c>
      <c r="S43" s="191">
        <f>5+19735+11693</f>
        <v>31433</v>
      </c>
      <c r="T43" s="191">
        <v>0</v>
      </c>
      <c r="U43" s="191">
        <v>3</v>
      </c>
      <c r="V43" s="191">
        <v>0</v>
      </c>
      <c r="W43" s="191">
        <v>0</v>
      </c>
      <c r="X43" s="190">
        <f>17+75+555</f>
        <v>647</v>
      </c>
    </row>
    <row r="44" spans="1:24" ht="19.899999999999999" customHeight="1">
      <c r="A44" s="166"/>
      <c r="B44" s="383" t="s">
        <v>166</v>
      </c>
      <c r="C44" s="383"/>
      <c r="D44" s="386" t="s">
        <v>164</v>
      </c>
      <c r="E44" s="386"/>
      <c r="F44" s="386"/>
      <c r="G44" s="162"/>
      <c r="H44" s="161">
        <f t="shared" si="2"/>
        <v>27</v>
      </c>
      <c r="I44" s="192">
        <v>0</v>
      </c>
      <c r="J44" s="191">
        <v>0</v>
      </c>
      <c r="K44" s="191">
        <v>0</v>
      </c>
      <c r="L44" s="191">
        <v>16</v>
      </c>
      <c r="M44" s="191">
        <v>5</v>
      </c>
      <c r="N44" s="191">
        <v>6</v>
      </c>
      <c r="O44" s="191">
        <v>0</v>
      </c>
      <c r="P44" s="191">
        <v>0</v>
      </c>
      <c r="Q44" s="191">
        <v>0</v>
      </c>
      <c r="R44" s="191">
        <v>0</v>
      </c>
      <c r="S44" s="191">
        <v>0</v>
      </c>
      <c r="T44" s="191">
        <v>0</v>
      </c>
      <c r="U44" s="191">
        <v>0</v>
      </c>
      <c r="V44" s="191">
        <v>0</v>
      </c>
      <c r="W44" s="191">
        <v>0</v>
      </c>
      <c r="X44" s="190">
        <v>0</v>
      </c>
    </row>
    <row r="45" spans="1:24" ht="19.899999999999999" customHeight="1">
      <c r="A45" s="166"/>
      <c r="B45" s="383" t="s">
        <v>165</v>
      </c>
      <c r="C45" s="383"/>
      <c r="D45" s="386" t="s">
        <v>164</v>
      </c>
      <c r="E45" s="386"/>
      <c r="F45" s="386"/>
      <c r="G45" s="162"/>
      <c r="H45" s="161">
        <f t="shared" si="2"/>
        <v>40</v>
      </c>
      <c r="I45" s="192">
        <v>0</v>
      </c>
      <c r="J45" s="191">
        <v>0</v>
      </c>
      <c r="K45" s="191">
        <v>0</v>
      </c>
      <c r="L45" s="191">
        <v>11</v>
      </c>
      <c r="M45" s="191">
        <v>12</v>
      </c>
      <c r="N45" s="191">
        <v>8</v>
      </c>
      <c r="O45" s="191">
        <v>1</v>
      </c>
      <c r="P45" s="191">
        <v>3</v>
      </c>
      <c r="Q45" s="191">
        <v>3</v>
      </c>
      <c r="R45" s="191">
        <v>0</v>
      </c>
      <c r="S45" s="191">
        <v>1</v>
      </c>
      <c r="T45" s="191">
        <v>0</v>
      </c>
      <c r="U45" s="191">
        <v>0</v>
      </c>
      <c r="V45" s="191">
        <v>0</v>
      </c>
      <c r="W45" s="191">
        <v>0</v>
      </c>
      <c r="X45" s="190">
        <v>1</v>
      </c>
    </row>
    <row r="46" spans="1:24" ht="19.899999999999999" customHeight="1">
      <c r="A46" s="166"/>
      <c r="B46" s="383" t="s">
        <v>163</v>
      </c>
      <c r="C46" s="383"/>
      <c r="D46" s="386" t="s">
        <v>101</v>
      </c>
      <c r="E46" s="386"/>
      <c r="F46" s="386"/>
      <c r="G46" s="162"/>
      <c r="H46" s="161">
        <f t="shared" si="2"/>
        <v>21</v>
      </c>
      <c r="I46" s="192">
        <v>0</v>
      </c>
      <c r="J46" s="191">
        <v>0</v>
      </c>
      <c r="K46" s="191">
        <v>0</v>
      </c>
      <c r="L46" s="191">
        <v>6</v>
      </c>
      <c r="M46" s="191">
        <v>8</v>
      </c>
      <c r="N46" s="191">
        <v>3</v>
      </c>
      <c r="O46" s="191">
        <v>0</v>
      </c>
      <c r="P46" s="191">
        <v>0</v>
      </c>
      <c r="Q46" s="191">
        <v>1</v>
      </c>
      <c r="R46" s="191">
        <v>0</v>
      </c>
      <c r="S46" s="191">
        <v>1</v>
      </c>
      <c r="T46" s="191">
        <v>0</v>
      </c>
      <c r="U46" s="191">
        <v>2</v>
      </c>
      <c r="V46" s="191">
        <v>0</v>
      </c>
      <c r="W46" s="191">
        <v>0</v>
      </c>
      <c r="X46" s="190">
        <v>0</v>
      </c>
    </row>
    <row r="47" spans="1:24" ht="19.899999999999999" customHeight="1">
      <c r="A47" s="166"/>
      <c r="B47" s="383" t="s">
        <v>162</v>
      </c>
      <c r="C47" s="383"/>
      <c r="D47" s="386" t="s">
        <v>160</v>
      </c>
      <c r="E47" s="386"/>
      <c r="F47" s="386"/>
      <c r="G47" s="162"/>
      <c r="H47" s="161">
        <f t="shared" si="2"/>
        <v>487</v>
      </c>
      <c r="I47" s="192">
        <v>36</v>
      </c>
      <c r="J47" s="191">
        <v>1</v>
      </c>
      <c r="K47" s="191">
        <v>0</v>
      </c>
      <c r="L47" s="191">
        <v>50</v>
      </c>
      <c r="M47" s="191">
        <v>53</v>
      </c>
      <c r="N47" s="191">
        <v>127</v>
      </c>
      <c r="O47" s="191">
        <v>6</v>
      </c>
      <c r="P47" s="191">
        <v>14</v>
      </c>
      <c r="Q47" s="191">
        <v>33</v>
      </c>
      <c r="R47" s="191">
        <v>0</v>
      </c>
      <c r="S47" s="191">
        <v>11</v>
      </c>
      <c r="T47" s="191">
        <v>0</v>
      </c>
      <c r="U47" s="191">
        <v>1</v>
      </c>
      <c r="V47" s="191">
        <v>0</v>
      </c>
      <c r="W47" s="191">
        <v>0</v>
      </c>
      <c r="X47" s="190">
        <v>155</v>
      </c>
    </row>
    <row r="48" spans="1:24" ht="19.899999999999999" customHeight="1">
      <c r="A48" s="166"/>
      <c r="B48" s="383" t="s">
        <v>161</v>
      </c>
      <c r="C48" s="383"/>
      <c r="D48" s="386" t="s">
        <v>160</v>
      </c>
      <c r="E48" s="386"/>
      <c r="F48" s="386"/>
      <c r="G48" s="162"/>
      <c r="H48" s="161">
        <f t="shared" si="2"/>
        <v>295</v>
      </c>
      <c r="I48" s="192">
        <v>3</v>
      </c>
      <c r="J48" s="191">
        <f>0+154</f>
        <v>154</v>
      </c>
      <c r="K48" s="191">
        <v>0</v>
      </c>
      <c r="L48" s="191">
        <v>9</v>
      </c>
      <c r="M48" s="191">
        <f>6+2</f>
        <v>8</v>
      </c>
      <c r="N48" s="191">
        <v>19</v>
      </c>
      <c r="O48" s="191">
        <v>1</v>
      </c>
      <c r="P48" s="191">
        <v>3</v>
      </c>
      <c r="Q48" s="191">
        <v>8</v>
      </c>
      <c r="R48" s="191">
        <v>1</v>
      </c>
      <c r="S48" s="191">
        <f>3+86</f>
        <v>89</v>
      </c>
      <c r="T48" s="191">
        <v>0</v>
      </c>
      <c r="U48" s="191">
        <v>0</v>
      </c>
      <c r="V48" s="191">
        <v>0</v>
      </c>
      <c r="W48" s="191">
        <v>0</v>
      </c>
      <c r="X48" s="190">
        <v>0</v>
      </c>
    </row>
    <row r="49" spans="1:24" ht="19.899999999999999" customHeight="1">
      <c r="A49" s="166"/>
      <c r="B49" s="383" t="s">
        <v>159</v>
      </c>
      <c r="C49" s="383"/>
      <c r="D49" s="386" t="s">
        <v>158</v>
      </c>
      <c r="E49" s="386"/>
      <c r="F49" s="386"/>
      <c r="G49" s="162"/>
      <c r="H49" s="161">
        <f t="shared" si="2"/>
        <v>96</v>
      </c>
      <c r="I49" s="192">
        <v>2</v>
      </c>
      <c r="J49" s="191">
        <v>0</v>
      </c>
      <c r="K49" s="191">
        <v>0</v>
      </c>
      <c r="L49" s="191">
        <v>1</v>
      </c>
      <c r="M49" s="191">
        <v>8</v>
      </c>
      <c r="N49" s="191">
        <v>30</v>
      </c>
      <c r="O49" s="191">
        <v>0</v>
      </c>
      <c r="P49" s="191">
        <v>5</v>
      </c>
      <c r="Q49" s="191">
        <v>6</v>
      </c>
      <c r="R49" s="191">
        <v>0</v>
      </c>
      <c r="S49" s="191">
        <v>4</v>
      </c>
      <c r="T49" s="191">
        <v>0</v>
      </c>
      <c r="U49" s="191">
        <v>15</v>
      </c>
      <c r="V49" s="191">
        <v>0</v>
      </c>
      <c r="W49" s="191">
        <v>0</v>
      </c>
      <c r="X49" s="190">
        <v>25</v>
      </c>
    </row>
    <row r="50" spans="1:24" ht="19.899999999999999" customHeight="1">
      <c r="A50" s="166"/>
      <c r="B50" s="383" t="s">
        <v>157</v>
      </c>
      <c r="C50" s="383"/>
      <c r="D50" s="386" t="s">
        <v>148</v>
      </c>
      <c r="E50" s="386"/>
      <c r="F50" s="386"/>
      <c r="G50" s="162"/>
      <c r="H50" s="161">
        <f t="shared" si="2"/>
        <v>51</v>
      </c>
      <c r="I50" s="192">
        <v>6</v>
      </c>
      <c r="J50" s="191">
        <v>0</v>
      </c>
      <c r="K50" s="191">
        <v>0</v>
      </c>
      <c r="L50" s="191">
        <v>4</v>
      </c>
      <c r="M50" s="191">
        <v>4</v>
      </c>
      <c r="N50" s="191">
        <v>13</v>
      </c>
      <c r="O50" s="191">
        <v>1</v>
      </c>
      <c r="P50" s="191">
        <v>0</v>
      </c>
      <c r="Q50" s="191">
        <v>15</v>
      </c>
      <c r="R50" s="191">
        <v>0</v>
      </c>
      <c r="S50" s="191">
        <v>1</v>
      </c>
      <c r="T50" s="191">
        <v>0</v>
      </c>
      <c r="U50" s="191">
        <v>7</v>
      </c>
      <c r="V50" s="191">
        <v>0</v>
      </c>
      <c r="W50" s="191">
        <v>0</v>
      </c>
      <c r="X50" s="190">
        <v>0</v>
      </c>
    </row>
    <row r="51" spans="1:24" ht="19.899999999999999" customHeight="1">
      <c r="A51" s="166"/>
      <c r="B51" s="383" t="s">
        <v>156</v>
      </c>
      <c r="C51" s="383"/>
      <c r="D51" s="389" t="s">
        <v>213</v>
      </c>
      <c r="E51" s="389"/>
      <c r="F51" s="389"/>
      <c r="G51" s="162"/>
      <c r="H51" s="161">
        <f t="shared" si="2"/>
        <v>3120</v>
      </c>
      <c r="I51" s="192">
        <f>6+3</f>
        <v>9</v>
      </c>
      <c r="J51" s="191">
        <f>0+8</f>
        <v>8</v>
      </c>
      <c r="K51" s="191">
        <v>0</v>
      </c>
      <c r="L51" s="191">
        <v>12</v>
      </c>
      <c r="M51" s="191">
        <v>35</v>
      </c>
      <c r="N51" s="191">
        <v>53</v>
      </c>
      <c r="O51" s="191">
        <v>0</v>
      </c>
      <c r="P51" s="191">
        <v>6</v>
      </c>
      <c r="Q51" s="191">
        <v>17</v>
      </c>
      <c r="R51" s="191">
        <v>0</v>
      </c>
      <c r="S51" s="191">
        <f>10+2956</f>
        <v>2966</v>
      </c>
      <c r="T51" s="191">
        <v>0</v>
      </c>
      <c r="U51" s="191">
        <v>8</v>
      </c>
      <c r="V51" s="191">
        <v>0</v>
      </c>
      <c r="W51" s="191">
        <v>0</v>
      </c>
      <c r="X51" s="190">
        <v>6</v>
      </c>
    </row>
    <row r="52" spans="1:24" ht="19.899999999999999" customHeight="1">
      <c r="A52" s="166"/>
      <c r="B52" s="383" t="s">
        <v>154</v>
      </c>
      <c r="C52" s="383"/>
      <c r="D52" s="389" t="s">
        <v>111</v>
      </c>
      <c r="E52" s="389"/>
      <c r="F52" s="389"/>
      <c r="G52" s="162"/>
      <c r="H52" s="161">
        <f t="shared" si="2"/>
        <v>470</v>
      </c>
      <c r="I52" s="192">
        <v>7</v>
      </c>
      <c r="J52" s="191">
        <f>0+15</f>
        <v>15</v>
      </c>
      <c r="K52" s="191">
        <v>0</v>
      </c>
      <c r="L52" s="191">
        <v>57</v>
      </c>
      <c r="M52" s="191">
        <v>112</v>
      </c>
      <c r="N52" s="191">
        <v>146</v>
      </c>
      <c r="O52" s="191">
        <v>0</v>
      </c>
      <c r="P52" s="191">
        <v>5</v>
      </c>
      <c r="Q52" s="191">
        <v>50</v>
      </c>
      <c r="R52" s="191">
        <v>5</v>
      </c>
      <c r="S52" s="191">
        <v>5</v>
      </c>
      <c r="T52" s="191">
        <v>0</v>
      </c>
      <c r="U52" s="191">
        <v>17</v>
      </c>
      <c r="V52" s="191">
        <v>0</v>
      </c>
      <c r="W52" s="191">
        <v>0</v>
      </c>
      <c r="X52" s="190">
        <v>51</v>
      </c>
    </row>
    <row r="53" spans="1:24" ht="19.899999999999999" customHeight="1">
      <c r="A53" s="166"/>
      <c r="B53" s="383" t="s">
        <v>152</v>
      </c>
      <c r="C53" s="383"/>
      <c r="D53" s="386" t="s">
        <v>92</v>
      </c>
      <c r="E53" s="386"/>
      <c r="F53" s="386"/>
      <c r="G53" s="162"/>
      <c r="H53" s="161">
        <f t="shared" si="2"/>
        <v>160</v>
      </c>
      <c r="I53" s="192">
        <v>14</v>
      </c>
      <c r="J53" s="191">
        <v>0</v>
      </c>
      <c r="K53" s="191">
        <v>0</v>
      </c>
      <c r="L53" s="191">
        <v>23</v>
      </c>
      <c r="M53" s="191">
        <v>16</v>
      </c>
      <c r="N53" s="191">
        <v>56</v>
      </c>
      <c r="O53" s="191">
        <v>0</v>
      </c>
      <c r="P53" s="191">
        <v>2</v>
      </c>
      <c r="Q53" s="191">
        <v>10</v>
      </c>
      <c r="R53" s="191">
        <v>0</v>
      </c>
      <c r="S53" s="191">
        <v>3</v>
      </c>
      <c r="T53" s="191">
        <v>0</v>
      </c>
      <c r="U53" s="191">
        <v>26</v>
      </c>
      <c r="V53" s="191">
        <v>0</v>
      </c>
      <c r="W53" s="191">
        <v>0</v>
      </c>
      <c r="X53" s="190">
        <v>10</v>
      </c>
    </row>
    <row r="54" spans="1:24" ht="19.899999999999999" customHeight="1" thickBot="1">
      <c r="A54" s="157"/>
      <c r="B54" s="387" t="s">
        <v>151</v>
      </c>
      <c r="C54" s="387"/>
      <c r="D54" s="388" t="s">
        <v>92</v>
      </c>
      <c r="E54" s="388"/>
      <c r="F54" s="388"/>
      <c r="G54" s="154"/>
      <c r="H54" s="153">
        <f t="shared" si="2"/>
        <v>15</v>
      </c>
      <c r="I54" s="257">
        <v>0</v>
      </c>
      <c r="J54" s="256">
        <v>0</v>
      </c>
      <c r="K54" s="256">
        <v>0</v>
      </c>
      <c r="L54" s="256">
        <v>3</v>
      </c>
      <c r="M54" s="256">
        <v>3</v>
      </c>
      <c r="N54" s="256">
        <v>3</v>
      </c>
      <c r="O54" s="256">
        <v>0</v>
      </c>
      <c r="P54" s="256">
        <v>0</v>
      </c>
      <c r="Q54" s="256">
        <v>0</v>
      </c>
      <c r="R54" s="256">
        <v>0</v>
      </c>
      <c r="S54" s="256">
        <v>2</v>
      </c>
      <c r="T54" s="256">
        <v>0</v>
      </c>
      <c r="U54" s="256">
        <v>0</v>
      </c>
      <c r="V54" s="256">
        <v>0</v>
      </c>
      <c r="W54" s="256">
        <v>0</v>
      </c>
      <c r="X54" s="255">
        <v>4</v>
      </c>
    </row>
    <row r="55" spans="1:24" s="209" customFormat="1" ht="7.5" customHeight="1" thickBot="1">
      <c r="A55" s="149"/>
      <c r="B55" s="197"/>
      <c r="C55" s="197"/>
      <c r="D55" s="197"/>
      <c r="E55" s="196"/>
      <c r="F55" s="146"/>
      <c r="G55" s="145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</row>
    <row r="56" spans="1:24" s="253" customFormat="1" ht="7.15" customHeight="1">
      <c r="A56" s="373" t="s">
        <v>211</v>
      </c>
      <c r="B56" s="374"/>
      <c r="C56" s="374"/>
      <c r="D56" s="374"/>
      <c r="E56" s="374"/>
      <c r="F56" s="374"/>
      <c r="G56" s="375"/>
      <c r="H56" s="172"/>
      <c r="I56" s="254"/>
      <c r="J56" s="243"/>
      <c r="K56" s="243"/>
      <c r="L56" s="243"/>
      <c r="M56" s="243"/>
      <c r="N56" s="243"/>
      <c r="O56" s="243"/>
      <c r="P56" s="243"/>
      <c r="Q56" s="243"/>
      <c r="R56" s="243"/>
      <c r="S56" s="243"/>
      <c r="T56" s="243"/>
      <c r="U56" s="243"/>
      <c r="V56" s="243"/>
      <c r="W56" s="243"/>
      <c r="X56" s="242"/>
    </row>
    <row r="57" spans="1:24" s="143" customFormat="1" ht="54" customHeight="1">
      <c r="A57" s="376"/>
      <c r="B57" s="377"/>
      <c r="C57" s="377"/>
      <c r="D57" s="377"/>
      <c r="E57" s="377"/>
      <c r="F57" s="377"/>
      <c r="G57" s="378"/>
      <c r="H57" s="237" t="s">
        <v>16</v>
      </c>
      <c r="I57" s="252" t="s">
        <v>15</v>
      </c>
      <c r="J57" s="250" t="s">
        <v>14</v>
      </c>
      <c r="K57" s="250" t="s">
        <v>13</v>
      </c>
      <c r="L57" s="250" t="s">
        <v>12</v>
      </c>
      <c r="M57" s="250" t="s">
        <v>11</v>
      </c>
      <c r="N57" s="250" t="s">
        <v>10</v>
      </c>
      <c r="O57" s="250" t="s">
        <v>9</v>
      </c>
      <c r="P57" s="250" t="s">
        <v>8</v>
      </c>
      <c r="Q57" s="250" t="s">
        <v>7</v>
      </c>
      <c r="R57" s="250" t="s">
        <v>6</v>
      </c>
      <c r="S57" s="251" t="s">
        <v>5</v>
      </c>
      <c r="T57" s="250" t="s">
        <v>4</v>
      </c>
      <c r="U57" s="250" t="s">
        <v>3</v>
      </c>
      <c r="V57" s="250" t="s">
        <v>2</v>
      </c>
      <c r="W57" s="250" t="s">
        <v>1</v>
      </c>
      <c r="X57" s="249" t="s">
        <v>0</v>
      </c>
    </row>
    <row r="58" spans="1:24" s="143" customFormat="1" ht="6" customHeight="1" thickBot="1">
      <c r="A58" s="379"/>
      <c r="B58" s="380"/>
      <c r="C58" s="380"/>
      <c r="D58" s="380"/>
      <c r="E58" s="380"/>
      <c r="F58" s="380"/>
      <c r="G58" s="381"/>
      <c r="H58" s="179"/>
      <c r="I58" s="248"/>
      <c r="J58" s="246"/>
      <c r="K58" s="246"/>
      <c r="L58" s="246"/>
      <c r="M58" s="246"/>
      <c r="N58" s="246"/>
      <c r="O58" s="246"/>
      <c r="P58" s="246"/>
      <c r="Q58" s="246"/>
      <c r="R58" s="246"/>
      <c r="S58" s="247"/>
      <c r="T58" s="246"/>
      <c r="U58" s="246"/>
      <c r="V58" s="246"/>
      <c r="W58" s="246"/>
      <c r="X58" s="245"/>
    </row>
    <row r="59" spans="1:24" s="143" customFormat="1" ht="15" customHeight="1">
      <c r="A59" s="174"/>
      <c r="B59" s="365"/>
      <c r="C59" s="365"/>
      <c r="D59" s="365"/>
      <c r="E59" s="365"/>
      <c r="F59" s="365"/>
      <c r="G59" s="173"/>
      <c r="H59" s="172" t="s">
        <v>34</v>
      </c>
      <c r="I59" s="244" t="s">
        <v>34</v>
      </c>
      <c r="J59" s="243" t="s">
        <v>34</v>
      </c>
      <c r="K59" s="243" t="s">
        <v>34</v>
      </c>
      <c r="L59" s="243" t="s">
        <v>34</v>
      </c>
      <c r="M59" s="243" t="s">
        <v>34</v>
      </c>
      <c r="N59" s="243" t="s">
        <v>34</v>
      </c>
      <c r="O59" s="243" t="s">
        <v>34</v>
      </c>
      <c r="P59" s="243" t="s">
        <v>34</v>
      </c>
      <c r="Q59" s="243" t="s">
        <v>34</v>
      </c>
      <c r="R59" s="243" t="s">
        <v>34</v>
      </c>
      <c r="S59" s="243" t="s">
        <v>34</v>
      </c>
      <c r="T59" s="243" t="s">
        <v>34</v>
      </c>
      <c r="U59" s="243" t="s">
        <v>34</v>
      </c>
      <c r="V59" s="243" t="s">
        <v>34</v>
      </c>
      <c r="W59" s="243" t="s">
        <v>34</v>
      </c>
      <c r="X59" s="242" t="s">
        <v>34</v>
      </c>
    </row>
    <row r="60" spans="1:24" ht="19.899999999999999" customHeight="1">
      <c r="A60" s="166"/>
      <c r="B60" s="383" t="s">
        <v>150</v>
      </c>
      <c r="C60" s="383"/>
      <c r="D60" s="389" t="s">
        <v>111</v>
      </c>
      <c r="E60" s="389"/>
      <c r="F60" s="389"/>
      <c r="G60" s="162"/>
      <c r="H60" s="161">
        <f t="shared" ref="H60:H82" si="3">SUM(I60:X60)</f>
        <v>117</v>
      </c>
      <c r="I60" s="192">
        <v>1</v>
      </c>
      <c r="J60" s="191">
        <v>0</v>
      </c>
      <c r="K60" s="191">
        <v>0</v>
      </c>
      <c r="L60" s="191">
        <v>13</v>
      </c>
      <c r="M60" s="191">
        <v>46</v>
      </c>
      <c r="N60" s="191">
        <v>25</v>
      </c>
      <c r="O60" s="191">
        <v>0</v>
      </c>
      <c r="P60" s="191">
        <v>2</v>
      </c>
      <c r="Q60" s="191">
        <v>21</v>
      </c>
      <c r="R60" s="191">
        <v>0</v>
      </c>
      <c r="S60" s="191">
        <v>2</v>
      </c>
      <c r="T60" s="191">
        <v>0</v>
      </c>
      <c r="U60" s="191">
        <v>2</v>
      </c>
      <c r="V60" s="191">
        <v>0</v>
      </c>
      <c r="W60" s="191">
        <v>0</v>
      </c>
      <c r="X60" s="190">
        <v>5</v>
      </c>
    </row>
    <row r="61" spans="1:24" ht="19.899999999999999" customHeight="1">
      <c r="A61" s="166"/>
      <c r="B61" s="383" t="s">
        <v>149</v>
      </c>
      <c r="C61" s="383"/>
      <c r="D61" s="386" t="s">
        <v>148</v>
      </c>
      <c r="E61" s="386"/>
      <c r="F61" s="386"/>
      <c r="G61" s="162"/>
      <c r="H61" s="161">
        <f t="shared" si="3"/>
        <v>75</v>
      </c>
      <c r="I61" s="192">
        <v>4</v>
      </c>
      <c r="J61" s="191">
        <v>1</v>
      </c>
      <c r="K61" s="191">
        <v>0</v>
      </c>
      <c r="L61" s="191">
        <v>9</v>
      </c>
      <c r="M61" s="191">
        <v>12</v>
      </c>
      <c r="N61" s="191">
        <v>12</v>
      </c>
      <c r="O61" s="191">
        <v>0</v>
      </c>
      <c r="P61" s="191">
        <v>0</v>
      </c>
      <c r="Q61" s="191">
        <v>8</v>
      </c>
      <c r="R61" s="191">
        <v>0</v>
      </c>
      <c r="S61" s="191">
        <v>0</v>
      </c>
      <c r="T61" s="191">
        <v>0</v>
      </c>
      <c r="U61" s="191">
        <v>2</v>
      </c>
      <c r="V61" s="191">
        <v>0</v>
      </c>
      <c r="W61" s="191">
        <v>0</v>
      </c>
      <c r="X61" s="190">
        <v>27</v>
      </c>
    </row>
    <row r="62" spans="1:24" ht="19.899999999999999" customHeight="1">
      <c r="A62" s="166"/>
      <c r="B62" s="383" t="s">
        <v>147</v>
      </c>
      <c r="C62" s="383"/>
      <c r="D62" s="386" t="s">
        <v>145</v>
      </c>
      <c r="E62" s="386"/>
      <c r="F62" s="386"/>
      <c r="G62" s="162"/>
      <c r="H62" s="161">
        <f t="shared" si="3"/>
        <v>162</v>
      </c>
      <c r="I62" s="192">
        <v>1</v>
      </c>
      <c r="J62" s="191">
        <v>0</v>
      </c>
      <c r="K62" s="191">
        <v>0</v>
      </c>
      <c r="L62" s="191">
        <f>9+4</f>
        <v>13</v>
      </c>
      <c r="M62" s="191">
        <v>74</v>
      </c>
      <c r="N62" s="191">
        <v>24</v>
      </c>
      <c r="O62" s="191">
        <v>2</v>
      </c>
      <c r="P62" s="191">
        <v>5</v>
      </c>
      <c r="Q62" s="191">
        <v>12</v>
      </c>
      <c r="R62" s="191">
        <v>0</v>
      </c>
      <c r="S62" s="191">
        <f>0+20</f>
        <v>20</v>
      </c>
      <c r="T62" s="191">
        <v>0</v>
      </c>
      <c r="U62" s="191">
        <v>4</v>
      </c>
      <c r="V62" s="191">
        <v>0</v>
      </c>
      <c r="W62" s="191">
        <v>0</v>
      </c>
      <c r="X62" s="190">
        <v>7</v>
      </c>
    </row>
    <row r="63" spans="1:24" ht="19.899999999999999" customHeight="1">
      <c r="A63" s="166"/>
      <c r="B63" s="383" t="s">
        <v>146</v>
      </c>
      <c r="C63" s="383"/>
      <c r="D63" s="386" t="s">
        <v>145</v>
      </c>
      <c r="E63" s="386"/>
      <c r="F63" s="386"/>
      <c r="G63" s="162"/>
      <c r="H63" s="161">
        <f t="shared" si="3"/>
        <v>63</v>
      </c>
      <c r="I63" s="192">
        <v>0</v>
      </c>
      <c r="J63" s="191">
        <v>0</v>
      </c>
      <c r="K63" s="191">
        <v>0</v>
      </c>
      <c r="L63" s="191">
        <v>20</v>
      </c>
      <c r="M63" s="191">
        <v>5</v>
      </c>
      <c r="N63" s="191">
        <v>34</v>
      </c>
      <c r="O63" s="191">
        <v>0</v>
      </c>
      <c r="P63" s="191">
        <v>1</v>
      </c>
      <c r="Q63" s="191">
        <v>0</v>
      </c>
      <c r="R63" s="191">
        <v>0</v>
      </c>
      <c r="S63" s="191">
        <v>0</v>
      </c>
      <c r="T63" s="191">
        <v>0</v>
      </c>
      <c r="U63" s="191">
        <v>1</v>
      </c>
      <c r="V63" s="191">
        <v>0</v>
      </c>
      <c r="W63" s="191">
        <v>0</v>
      </c>
      <c r="X63" s="190">
        <v>2</v>
      </c>
    </row>
    <row r="64" spans="1:24" s="149" customFormat="1" ht="19.899999999999999" customHeight="1">
      <c r="A64" s="166"/>
      <c r="B64" s="383" t="s">
        <v>144</v>
      </c>
      <c r="C64" s="383"/>
      <c r="D64" s="386" t="s">
        <v>142</v>
      </c>
      <c r="E64" s="386"/>
      <c r="F64" s="386"/>
      <c r="G64" s="162"/>
      <c r="H64" s="161">
        <f t="shared" si="3"/>
        <v>24</v>
      </c>
      <c r="I64" s="192">
        <v>0</v>
      </c>
      <c r="J64" s="191">
        <v>0</v>
      </c>
      <c r="K64" s="191">
        <v>0</v>
      </c>
      <c r="L64" s="191">
        <v>1</v>
      </c>
      <c r="M64" s="191">
        <v>5</v>
      </c>
      <c r="N64" s="191">
        <v>6</v>
      </c>
      <c r="O64" s="191">
        <v>0</v>
      </c>
      <c r="P64" s="191">
        <v>0</v>
      </c>
      <c r="Q64" s="191">
        <v>0</v>
      </c>
      <c r="R64" s="191">
        <v>0</v>
      </c>
      <c r="S64" s="191">
        <v>0</v>
      </c>
      <c r="T64" s="191">
        <v>0</v>
      </c>
      <c r="U64" s="191">
        <v>0</v>
      </c>
      <c r="V64" s="191">
        <v>0</v>
      </c>
      <c r="W64" s="191">
        <v>0</v>
      </c>
      <c r="X64" s="190">
        <v>12</v>
      </c>
    </row>
    <row r="65" spans="1:24" ht="19.899999999999999" customHeight="1">
      <c r="A65" s="166"/>
      <c r="B65" s="383" t="s">
        <v>143</v>
      </c>
      <c r="C65" s="383"/>
      <c r="D65" s="386" t="s">
        <v>142</v>
      </c>
      <c r="E65" s="386"/>
      <c r="F65" s="386"/>
      <c r="G65" s="162"/>
      <c r="H65" s="161">
        <f t="shared" si="3"/>
        <v>4</v>
      </c>
      <c r="I65" s="192">
        <v>0</v>
      </c>
      <c r="J65" s="191">
        <v>0</v>
      </c>
      <c r="K65" s="191">
        <v>0</v>
      </c>
      <c r="L65" s="191">
        <v>1</v>
      </c>
      <c r="M65" s="191">
        <v>0</v>
      </c>
      <c r="N65" s="191">
        <v>0</v>
      </c>
      <c r="O65" s="191">
        <v>0</v>
      </c>
      <c r="P65" s="191">
        <v>0</v>
      </c>
      <c r="Q65" s="191">
        <v>0</v>
      </c>
      <c r="R65" s="191">
        <v>0</v>
      </c>
      <c r="S65" s="191">
        <v>2</v>
      </c>
      <c r="T65" s="191">
        <v>0</v>
      </c>
      <c r="U65" s="191">
        <v>0</v>
      </c>
      <c r="V65" s="191">
        <v>0</v>
      </c>
      <c r="W65" s="191">
        <v>0</v>
      </c>
      <c r="X65" s="190">
        <v>1</v>
      </c>
    </row>
    <row r="66" spans="1:24" ht="19.899999999999999" customHeight="1">
      <c r="A66" s="204"/>
      <c r="B66" s="390" t="s">
        <v>141</v>
      </c>
      <c r="C66" s="390"/>
      <c r="D66" s="386" t="s">
        <v>212</v>
      </c>
      <c r="E66" s="386"/>
      <c r="F66" s="386"/>
      <c r="G66" s="162"/>
      <c r="H66" s="161">
        <f t="shared" si="3"/>
        <v>46</v>
      </c>
      <c r="I66" s="192">
        <v>1</v>
      </c>
      <c r="J66" s="191">
        <v>0</v>
      </c>
      <c r="K66" s="191">
        <v>0</v>
      </c>
      <c r="L66" s="191">
        <v>0</v>
      </c>
      <c r="M66" s="191">
        <v>10</v>
      </c>
      <c r="N66" s="191">
        <v>10</v>
      </c>
      <c r="O66" s="191">
        <v>1</v>
      </c>
      <c r="P66" s="191">
        <v>0</v>
      </c>
      <c r="Q66" s="191">
        <v>0</v>
      </c>
      <c r="R66" s="191">
        <v>0</v>
      </c>
      <c r="S66" s="191">
        <v>1</v>
      </c>
      <c r="T66" s="191">
        <v>0</v>
      </c>
      <c r="U66" s="191">
        <v>0</v>
      </c>
      <c r="V66" s="191">
        <v>0</v>
      </c>
      <c r="W66" s="191">
        <v>0</v>
      </c>
      <c r="X66" s="190">
        <v>23</v>
      </c>
    </row>
    <row r="67" spans="1:24" ht="19.899999999999999" customHeight="1">
      <c r="A67" s="166"/>
      <c r="B67" s="383" t="s">
        <v>140</v>
      </c>
      <c r="C67" s="383"/>
      <c r="D67" s="386" t="s">
        <v>212</v>
      </c>
      <c r="E67" s="386"/>
      <c r="F67" s="386"/>
      <c r="G67" s="162"/>
      <c r="H67" s="161">
        <f t="shared" si="3"/>
        <v>30</v>
      </c>
      <c r="I67" s="192">
        <v>2</v>
      </c>
      <c r="J67" s="191">
        <v>0</v>
      </c>
      <c r="K67" s="191">
        <v>0</v>
      </c>
      <c r="L67" s="191">
        <v>3</v>
      </c>
      <c r="M67" s="191">
        <v>1</v>
      </c>
      <c r="N67" s="191">
        <v>4</v>
      </c>
      <c r="O67" s="191">
        <v>1</v>
      </c>
      <c r="P67" s="191">
        <v>0</v>
      </c>
      <c r="Q67" s="191">
        <v>0</v>
      </c>
      <c r="R67" s="191">
        <v>0</v>
      </c>
      <c r="S67" s="191">
        <v>4</v>
      </c>
      <c r="T67" s="191">
        <v>0</v>
      </c>
      <c r="U67" s="191">
        <v>0</v>
      </c>
      <c r="V67" s="191">
        <v>0</v>
      </c>
      <c r="W67" s="191">
        <v>0</v>
      </c>
      <c r="X67" s="190">
        <v>15</v>
      </c>
    </row>
    <row r="68" spans="1:24" ht="19.899999999999999" customHeight="1">
      <c r="A68" s="166"/>
      <c r="B68" s="383" t="s">
        <v>139</v>
      </c>
      <c r="C68" s="383"/>
      <c r="D68" s="386" t="s">
        <v>212</v>
      </c>
      <c r="E68" s="386"/>
      <c r="F68" s="386"/>
      <c r="G68" s="162"/>
      <c r="H68" s="161">
        <f t="shared" si="3"/>
        <v>5</v>
      </c>
      <c r="I68" s="192">
        <v>0</v>
      </c>
      <c r="J68" s="191">
        <v>0</v>
      </c>
      <c r="K68" s="191">
        <v>0</v>
      </c>
      <c r="L68" s="191">
        <v>1</v>
      </c>
      <c r="M68" s="191">
        <v>0</v>
      </c>
      <c r="N68" s="191">
        <v>2</v>
      </c>
      <c r="O68" s="191">
        <v>0</v>
      </c>
      <c r="P68" s="191">
        <v>0</v>
      </c>
      <c r="Q68" s="191">
        <v>0</v>
      </c>
      <c r="R68" s="191">
        <v>0</v>
      </c>
      <c r="S68" s="191">
        <v>0</v>
      </c>
      <c r="T68" s="191">
        <v>0</v>
      </c>
      <c r="U68" s="191">
        <v>0</v>
      </c>
      <c r="V68" s="191">
        <v>0</v>
      </c>
      <c r="W68" s="191">
        <v>0</v>
      </c>
      <c r="X68" s="190">
        <v>2</v>
      </c>
    </row>
    <row r="69" spans="1:24" ht="19.899999999999999" customHeight="1">
      <c r="A69" s="166"/>
      <c r="B69" s="383" t="s">
        <v>138</v>
      </c>
      <c r="C69" s="383"/>
      <c r="D69" s="386" t="s">
        <v>212</v>
      </c>
      <c r="E69" s="386"/>
      <c r="F69" s="386"/>
      <c r="G69" s="162"/>
      <c r="H69" s="161">
        <f t="shared" si="3"/>
        <v>80</v>
      </c>
      <c r="I69" s="192">
        <v>0</v>
      </c>
      <c r="J69" s="191">
        <v>0</v>
      </c>
      <c r="K69" s="191">
        <v>0</v>
      </c>
      <c r="L69" s="191">
        <v>2</v>
      </c>
      <c r="M69" s="191">
        <v>8</v>
      </c>
      <c r="N69" s="191">
        <v>28</v>
      </c>
      <c r="O69" s="191">
        <v>1</v>
      </c>
      <c r="P69" s="191">
        <v>0</v>
      </c>
      <c r="Q69" s="191">
        <v>10</v>
      </c>
      <c r="R69" s="191">
        <v>0</v>
      </c>
      <c r="S69" s="191">
        <v>3</v>
      </c>
      <c r="T69" s="191">
        <v>0</v>
      </c>
      <c r="U69" s="191">
        <v>0</v>
      </c>
      <c r="V69" s="191">
        <v>0</v>
      </c>
      <c r="W69" s="191">
        <v>0</v>
      </c>
      <c r="X69" s="190">
        <v>28</v>
      </c>
    </row>
    <row r="70" spans="1:24" ht="19.899999999999999" customHeight="1">
      <c r="A70" s="166"/>
      <c r="B70" s="383" t="s">
        <v>137</v>
      </c>
      <c r="C70" s="383"/>
      <c r="D70" s="386" t="s">
        <v>212</v>
      </c>
      <c r="E70" s="386"/>
      <c r="F70" s="386"/>
      <c r="G70" s="162"/>
      <c r="H70" s="161">
        <f t="shared" si="3"/>
        <v>1</v>
      </c>
      <c r="I70" s="192">
        <v>0</v>
      </c>
      <c r="J70" s="191">
        <v>0</v>
      </c>
      <c r="K70" s="191">
        <v>0</v>
      </c>
      <c r="L70" s="191">
        <v>0</v>
      </c>
      <c r="M70" s="191">
        <v>0</v>
      </c>
      <c r="N70" s="191">
        <v>0</v>
      </c>
      <c r="O70" s="191">
        <v>0</v>
      </c>
      <c r="P70" s="191">
        <v>0</v>
      </c>
      <c r="Q70" s="191">
        <v>0</v>
      </c>
      <c r="R70" s="191">
        <v>0</v>
      </c>
      <c r="S70" s="191">
        <v>1</v>
      </c>
      <c r="T70" s="191">
        <v>0</v>
      </c>
      <c r="U70" s="191">
        <v>0</v>
      </c>
      <c r="V70" s="191">
        <v>0</v>
      </c>
      <c r="W70" s="191">
        <v>0</v>
      </c>
      <c r="X70" s="190">
        <v>0</v>
      </c>
    </row>
    <row r="71" spans="1:24" ht="19.899999999999999" customHeight="1">
      <c r="A71" s="166"/>
      <c r="B71" s="383" t="s">
        <v>136</v>
      </c>
      <c r="C71" s="383"/>
      <c r="D71" s="386" t="s">
        <v>212</v>
      </c>
      <c r="E71" s="386"/>
      <c r="F71" s="386"/>
      <c r="G71" s="162"/>
      <c r="H71" s="161">
        <f t="shared" si="3"/>
        <v>18</v>
      </c>
      <c r="I71" s="192">
        <v>2</v>
      </c>
      <c r="J71" s="191">
        <v>0</v>
      </c>
      <c r="K71" s="191">
        <v>0</v>
      </c>
      <c r="L71" s="191">
        <v>1</v>
      </c>
      <c r="M71" s="191">
        <v>0</v>
      </c>
      <c r="N71" s="191">
        <v>3</v>
      </c>
      <c r="O71" s="191">
        <v>0</v>
      </c>
      <c r="P71" s="191">
        <v>0</v>
      </c>
      <c r="Q71" s="191">
        <v>0</v>
      </c>
      <c r="R71" s="191">
        <v>0</v>
      </c>
      <c r="S71" s="191">
        <v>0</v>
      </c>
      <c r="T71" s="191">
        <v>0</v>
      </c>
      <c r="U71" s="191">
        <v>0</v>
      </c>
      <c r="V71" s="191">
        <v>0</v>
      </c>
      <c r="W71" s="191">
        <v>0</v>
      </c>
      <c r="X71" s="190">
        <v>12</v>
      </c>
    </row>
    <row r="72" spans="1:24" ht="19.899999999999999" customHeight="1">
      <c r="A72" s="166"/>
      <c r="B72" s="383" t="s">
        <v>135</v>
      </c>
      <c r="C72" s="383"/>
      <c r="D72" s="386" t="s">
        <v>212</v>
      </c>
      <c r="E72" s="386"/>
      <c r="F72" s="386"/>
      <c r="G72" s="162"/>
      <c r="H72" s="161">
        <f t="shared" si="3"/>
        <v>32</v>
      </c>
      <c r="I72" s="192">
        <v>1</v>
      </c>
      <c r="J72" s="191">
        <v>0</v>
      </c>
      <c r="K72" s="191">
        <v>0</v>
      </c>
      <c r="L72" s="191">
        <v>1</v>
      </c>
      <c r="M72" s="191">
        <v>1</v>
      </c>
      <c r="N72" s="191">
        <v>10</v>
      </c>
      <c r="O72" s="191">
        <v>2</v>
      </c>
      <c r="P72" s="191">
        <v>0</v>
      </c>
      <c r="Q72" s="191">
        <v>0</v>
      </c>
      <c r="R72" s="191">
        <v>0</v>
      </c>
      <c r="S72" s="191">
        <v>2</v>
      </c>
      <c r="T72" s="191">
        <v>0</v>
      </c>
      <c r="U72" s="191">
        <v>0</v>
      </c>
      <c r="V72" s="191">
        <v>0</v>
      </c>
      <c r="W72" s="191">
        <v>0</v>
      </c>
      <c r="X72" s="190">
        <v>15</v>
      </c>
    </row>
    <row r="73" spans="1:24" ht="19.899999999999999" customHeight="1">
      <c r="A73" s="166"/>
      <c r="B73" s="383" t="s">
        <v>134</v>
      </c>
      <c r="C73" s="383"/>
      <c r="D73" s="386" t="s">
        <v>212</v>
      </c>
      <c r="E73" s="386"/>
      <c r="F73" s="386"/>
      <c r="G73" s="162"/>
      <c r="H73" s="161">
        <f t="shared" si="3"/>
        <v>27</v>
      </c>
      <c r="I73" s="192">
        <v>0</v>
      </c>
      <c r="J73" s="191">
        <v>11</v>
      </c>
      <c r="K73" s="191">
        <v>0</v>
      </c>
      <c r="L73" s="191">
        <v>6</v>
      </c>
      <c r="M73" s="191">
        <v>5</v>
      </c>
      <c r="N73" s="191">
        <v>0</v>
      </c>
      <c r="O73" s="191">
        <v>0</v>
      </c>
      <c r="P73" s="191">
        <v>0</v>
      </c>
      <c r="Q73" s="191">
        <v>0</v>
      </c>
      <c r="R73" s="191">
        <v>0</v>
      </c>
      <c r="S73" s="191">
        <v>2</v>
      </c>
      <c r="T73" s="191">
        <v>0</v>
      </c>
      <c r="U73" s="191">
        <v>0</v>
      </c>
      <c r="V73" s="191">
        <v>0</v>
      </c>
      <c r="W73" s="191">
        <v>0</v>
      </c>
      <c r="X73" s="190">
        <v>3</v>
      </c>
    </row>
    <row r="74" spans="1:24" ht="19.899999999999999" customHeight="1">
      <c r="A74" s="166"/>
      <c r="B74" s="383" t="s">
        <v>133</v>
      </c>
      <c r="C74" s="383"/>
      <c r="D74" s="386" t="s">
        <v>130</v>
      </c>
      <c r="E74" s="386"/>
      <c r="F74" s="386"/>
      <c r="G74" s="162"/>
      <c r="H74" s="161">
        <f t="shared" si="3"/>
        <v>356</v>
      </c>
      <c r="I74" s="192">
        <v>30</v>
      </c>
      <c r="J74" s="191">
        <v>2</v>
      </c>
      <c r="K74" s="191">
        <v>0</v>
      </c>
      <c r="L74" s="191">
        <v>66</v>
      </c>
      <c r="M74" s="191">
        <v>36</v>
      </c>
      <c r="N74" s="191">
        <v>105</v>
      </c>
      <c r="O74" s="191">
        <v>11</v>
      </c>
      <c r="P74" s="191">
        <v>11</v>
      </c>
      <c r="Q74" s="191">
        <v>54</v>
      </c>
      <c r="R74" s="191">
        <v>9</v>
      </c>
      <c r="S74" s="191">
        <v>8</v>
      </c>
      <c r="T74" s="191">
        <v>0</v>
      </c>
      <c r="U74" s="191">
        <v>14</v>
      </c>
      <c r="V74" s="191">
        <v>0</v>
      </c>
      <c r="W74" s="191">
        <v>0</v>
      </c>
      <c r="X74" s="190">
        <v>10</v>
      </c>
    </row>
    <row r="75" spans="1:24" ht="19.899999999999999" customHeight="1">
      <c r="A75" s="166"/>
      <c r="B75" s="383" t="s">
        <v>132</v>
      </c>
      <c r="C75" s="383"/>
      <c r="D75" s="386" t="s">
        <v>130</v>
      </c>
      <c r="E75" s="386"/>
      <c r="F75" s="386"/>
      <c r="G75" s="162"/>
      <c r="H75" s="161">
        <f t="shared" si="3"/>
        <v>8985</v>
      </c>
      <c r="I75" s="192">
        <f>7+1</f>
        <v>8</v>
      </c>
      <c r="J75" s="191">
        <v>0</v>
      </c>
      <c r="K75" s="191">
        <v>6</v>
      </c>
      <c r="L75" s="191">
        <f>9+13</f>
        <v>22</v>
      </c>
      <c r="M75" s="191">
        <v>1</v>
      </c>
      <c r="N75" s="191">
        <f>10+38</f>
        <v>48</v>
      </c>
      <c r="O75" s="191">
        <v>2</v>
      </c>
      <c r="P75" s="191">
        <v>0</v>
      </c>
      <c r="Q75" s="191">
        <v>5</v>
      </c>
      <c r="R75" s="191">
        <v>0</v>
      </c>
      <c r="S75" s="191">
        <f>0+4797</f>
        <v>4797</v>
      </c>
      <c r="T75" s="191">
        <v>0</v>
      </c>
      <c r="U75" s="191">
        <f>0+3</f>
        <v>3</v>
      </c>
      <c r="V75" s="191">
        <v>0</v>
      </c>
      <c r="W75" s="191">
        <v>0</v>
      </c>
      <c r="X75" s="190">
        <f>3+4090</f>
        <v>4093</v>
      </c>
    </row>
    <row r="76" spans="1:24" ht="19.899999999999999" customHeight="1">
      <c r="A76" s="166"/>
      <c r="B76" s="383" t="s">
        <v>131</v>
      </c>
      <c r="C76" s="383"/>
      <c r="D76" s="386" t="s">
        <v>130</v>
      </c>
      <c r="E76" s="386"/>
      <c r="F76" s="386"/>
      <c r="G76" s="162"/>
      <c r="H76" s="161">
        <f t="shared" si="3"/>
        <v>143</v>
      </c>
      <c r="I76" s="192">
        <v>12</v>
      </c>
      <c r="J76" s="191">
        <v>10</v>
      </c>
      <c r="K76" s="191">
        <v>0</v>
      </c>
      <c r="L76" s="191">
        <v>34</v>
      </c>
      <c r="M76" s="191">
        <v>13</v>
      </c>
      <c r="N76" s="191">
        <v>25</v>
      </c>
      <c r="O76" s="191">
        <v>3</v>
      </c>
      <c r="P76" s="191">
        <v>2</v>
      </c>
      <c r="Q76" s="191">
        <v>19</v>
      </c>
      <c r="R76" s="191">
        <v>0</v>
      </c>
      <c r="S76" s="191">
        <v>11</v>
      </c>
      <c r="T76" s="191">
        <v>0</v>
      </c>
      <c r="U76" s="191">
        <v>3</v>
      </c>
      <c r="V76" s="191">
        <v>0</v>
      </c>
      <c r="W76" s="191">
        <v>0</v>
      </c>
      <c r="X76" s="190">
        <v>11</v>
      </c>
    </row>
    <row r="77" spans="1:24" ht="19.899999999999999" customHeight="1">
      <c r="A77" s="166"/>
      <c r="B77" s="383" t="s">
        <v>129</v>
      </c>
      <c r="C77" s="383"/>
      <c r="D77" s="386" t="s">
        <v>128</v>
      </c>
      <c r="E77" s="386"/>
      <c r="F77" s="386"/>
      <c r="G77" s="162"/>
      <c r="H77" s="161">
        <f t="shared" si="3"/>
        <v>16</v>
      </c>
      <c r="I77" s="192">
        <v>1</v>
      </c>
      <c r="J77" s="191">
        <v>0</v>
      </c>
      <c r="K77" s="191">
        <v>0</v>
      </c>
      <c r="L77" s="191">
        <v>13</v>
      </c>
      <c r="M77" s="191">
        <v>0</v>
      </c>
      <c r="N77" s="191">
        <v>0</v>
      </c>
      <c r="O77" s="191">
        <v>0</v>
      </c>
      <c r="P77" s="191">
        <v>0</v>
      </c>
      <c r="Q77" s="191">
        <v>0</v>
      </c>
      <c r="R77" s="191">
        <v>0</v>
      </c>
      <c r="S77" s="191">
        <v>1</v>
      </c>
      <c r="T77" s="191">
        <v>1</v>
      </c>
      <c r="U77" s="191">
        <v>0</v>
      </c>
      <c r="V77" s="191">
        <v>0</v>
      </c>
      <c r="W77" s="191">
        <v>0</v>
      </c>
      <c r="X77" s="190">
        <v>0</v>
      </c>
    </row>
    <row r="78" spans="1:24" ht="19.899999999999999" customHeight="1">
      <c r="A78" s="166"/>
      <c r="B78" s="383" t="s">
        <v>127</v>
      </c>
      <c r="C78" s="383"/>
      <c r="D78" s="386" t="s">
        <v>119</v>
      </c>
      <c r="E78" s="386"/>
      <c r="F78" s="386"/>
      <c r="G78" s="162"/>
      <c r="H78" s="161">
        <f t="shared" si="3"/>
        <v>48</v>
      </c>
      <c r="I78" s="192">
        <v>1</v>
      </c>
      <c r="J78" s="191">
        <v>4</v>
      </c>
      <c r="K78" s="191">
        <v>2</v>
      </c>
      <c r="L78" s="191">
        <v>14</v>
      </c>
      <c r="M78" s="191">
        <v>7</v>
      </c>
      <c r="N78" s="191">
        <v>2</v>
      </c>
      <c r="O78" s="191">
        <v>4</v>
      </c>
      <c r="P78" s="191">
        <v>0</v>
      </c>
      <c r="Q78" s="191">
        <v>1</v>
      </c>
      <c r="R78" s="191">
        <v>0</v>
      </c>
      <c r="S78" s="191">
        <v>1</v>
      </c>
      <c r="T78" s="191">
        <v>4</v>
      </c>
      <c r="U78" s="191">
        <v>0</v>
      </c>
      <c r="V78" s="191">
        <v>0</v>
      </c>
      <c r="W78" s="191">
        <v>0</v>
      </c>
      <c r="X78" s="190">
        <v>8</v>
      </c>
    </row>
    <row r="79" spans="1:24" ht="19.899999999999999" customHeight="1">
      <c r="A79" s="166"/>
      <c r="B79" s="383" t="s">
        <v>126</v>
      </c>
      <c r="C79" s="383"/>
      <c r="D79" s="386" t="s">
        <v>119</v>
      </c>
      <c r="E79" s="386"/>
      <c r="F79" s="386"/>
      <c r="G79" s="162"/>
      <c r="H79" s="161">
        <f t="shared" si="3"/>
        <v>99</v>
      </c>
      <c r="I79" s="192">
        <v>2</v>
      </c>
      <c r="J79" s="191">
        <v>0</v>
      </c>
      <c r="K79" s="191">
        <v>1</v>
      </c>
      <c r="L79" s="191">
        <v>20</v>
      </c>
      <c r="M79" s="191">
        <v>37</v>
      </c>
      <c r="N79" s="191">
        <v>3</v>
      </c>
      <c r="O79" s="191">
        <v>0</v>
      </c>
      <c r="P79" s="191">
        <v>0</v>
      </c>
      <c r="Q79" s="191">
        <v>8</v>
      </c>
      <c r="R79" s="191">
        <v>7</v>
      </c>
      <c r="S79" s="191">
        <v>8</v>
      </c>
      <c r="T79" s="191">
        <v>0</v>
      </c>
      <c r="U79" s="191">
        <v>4</v>
      </c>
      <c r="V79" s="191">
        <v>0</v>
      </c>
      <c r="W79" s="191">
        <v>0</v>
      </c>
      <c r="X79" s="190">
        <v>9</v>
      </c>
    </row>
    <row r="80" spans="1:24" ht="19.899999999999999" customHeight="1">
      <c r="A80" s="166"/>
      <c r="B80" s="383" t="s">
        <v>125</v>
      </c>
      <c r="C80" s="383"/>
      <c r="D80" s="386" t="s">
        <v>122</v>
      </c>
      <c r="E80" s="386"/>
      <c r="F80" s="386"/>
      <c r="G80" s="162"/>
      <c r="H80" s="161">
        <f t="shared" si="3"/>
        <v>53</v>
      </c>
      <c r="I80" s="192">
        <v>6</v>
      </c>
      <c r="J80" s="191">
        <f>2+4</f>
        <v>6</v>
      </c>
      <c r="K80" s="191">
        <v>1</v>
      </c>
      <c r="L80" s="191">
        <f>7+8</f>
        <v>15</v>
      </c>
      <c r="M80" s="191">
        <v>2</v>
      </c>
      <c r="N80" s="191">
        <v>7</v>
      </c>
      <c r="O80" s="191">
        <v>0</v>
      </c>
      <c r="P80" s="191">
        <v>1</v>
      </c>
      <c r="Q80" s="191">
        <v>4</v>
      </c>
      <c r="R80" s="191">
        <v>0</v>
      </c>
      <c r="S80" s="191">
        <v>2</v>
      </c>
      <c r="T80" s="191">
        <v>0</v>
      </c>
      <c r="U80" s="191">
        <v>4</v>
      </c>
      <c r="V80" s="191">
        <v>0</v>
      </c>
      <c r="W80" s="191">
        <v>0</v>
      </c>
      <c r="X80" s="190">
        <v>5</v>
      </c>
    </row>
    <row r="81" spans="1:24" ht="19.899999999999999" customHeight="1">
      <c r="A81" s="166"/>
      <c r="B81" s="383" t="s">
        <v>124</v>
      </c>
      <c r="C81" s="383"/>
      <c r="D81" s="386" t="s">
        <v>92</v>
      </c>
      <c r="E81" s="386"/>
      <c r="F81" s="386"/>
      <c r="G81" s="162"/>
      <c r="H81" s="161">
        <f t="shared" si="3"/>
        <v>14</v>
      </c>
      <c r="I81" s="192">
        <v>1</v>
      </c>
      <c r="J81" s="191">
        <v>0</v>
      </c>
      <c r="K81" s="191">
        <v>0</v>
      </c>
      <c r="L81" s="191">
        <v>2</v>
      </c>
      <c r="M81" s="191">
        <v>8</v>
      </c>
      <c r="N81" s="191">
        <v>0</v>
      </c>
      <c r="O81" s="191">
        <v>0</v>
      </c>
      <c r="P81" s="191">
        <v>0</v>
      </c>
      <c r="Q81" s="191">
        <v>0</v>
      </c>
      <c r="R81" s="191">
        <v>0</v>
      </c>
      <c r="S81" s="191">
        <v>3</v>
      </c>
      <c r="T81" s="191">
        <v>0</v>
      </c>
      <c r="U81" s="191">
        <v>0</v>
      </c>
      <c r="V81" s="191">
        <v>0</v>
      </c>
      <c r="W81" s="191">
        <v>0</v>
      </c>
      <c r="X81" s="190">
        <v>0</v>
      </c>
    </row>
    <row r="82" spans="1:24" ht="19.899999999999999" customHeight="1" thickBot="1">
      <c r="A82" s="157"/>
      <c r="B82" s="387" t="s">
        <v>123</v>
      </c>
      <c r="C82" s="387"/>
      <c r="D82" s="388" t="s">
        <v>92</v>
      </c>
      <c r="E82" s="388"/>
      <c r="F82" s="388"/>
      <c r="G82" s="154"/>
      <c r="H82" s="153">
        <f t="shared" si="3"/>
        <v>27</v>
      </c>
      <c r="I82" s="257">
        <v>2</v>
      </c>
      <c r="J82" s="256">
        <v>0</v>
      </c>
      <c r="K82" s="256">
        <v>0</v>
      </c>
      <c r="L82" s="256">
        <v>5</v>
      </c>
      <c r="M82" s="256">
        <v>10</v>
      </c>
      <c r="N82" s="256">
        <v>4</v>
      </c>
      <c r="O82" s="256">
        <v>1</v>
      </c>
      <c r="P82" s="256">
        <v>0</v>
      </c>
      <c r="Q82" s="256">
        <v>2</v>
      </c>
      <c r="R82" s="256">
        <v>0</v>
      </c>
      <c r="S82" s="256">
        <v>0</v>
      </c>
      <c r="T82" s="256">
        <v>0</v>
      </c>
      <c r="U82" s="256">
        <v>3</v>
      </c>
      <c r="V82" s="256">
        <v>0</v>
      </c>
      <c r="W82" s="256">
        <v>0</v>
      </c>
      <c r="X82" s="255">
        <v>0</v>
      </c>
    </row>
    <row r="83" spans="1:24" s="209" customFormat="1" ht="7.5" customHeight="1" thickBot="1">
      <c r="A83" s="149"/>
      <c r="B83" s="197"/>
      <c r="C83" s="197"/>
      <c r="D83" s="197"/>
      <c r="E83" s="196"/>
      <c r="F83" s="146"/>
      <c r="G83" s="145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4"/>
      <c r="T83" s="144"/>
      <c r="U83" s="144"/>
      <c r="V83" s="144"/>
      <c r="W83" s="144"/>
      <c r="X83" s="144"/>
    </row>
    <row r="84" spans="1:24" s="253" customFormat="1" ht="7.15" customHeight="1">
      <c r="A84" s="373" t="s">
        <v>211</v>
      </c>
      <c r="B84" s="374"/>
      <c r="C84" s="374"/>
      <c r="D84" s="374"/>
      <c r="E84" s="374"/>
      <c r="F84" s="374"/>
      <c r="G84" s="375"/>
      <c r="H84" s="172"/>
      <c r="I84" s="254"/>
      <c r="J84" s="243"/>
      <c r="K84" s="243"/>
      <c r="L84" s="243"/>
      <c r="M84" s="243"/>
      <c r="N84" s="243"/>
      <c r="O84" s="243"/>
      <c r="P84" s="243"/>
      <c r="Q84" s="243"/>
      <c r="R84" s="243"/>
      <c r="S84" s="243"/>
      <c r="T84" s="243"/>
      <c r="U84" s="243"/>
      <c r="V84" s="243"/>
      <c r="W84" s="243"/>
      <c r="X84" s="242"/>
    </row>
    <row r="85" spans="1:24" s="143" customFormat="1" ht="54" customHeight="1">
      <c r="A85" s="376"/>
      <c r="B85" s="377"/>
      <c r="C85" s="377"/>
      <c r="D85" s="377"/>
      <c r="E85" s="377"/>
      <c r="F85" s="377"/>
      <c r="G85" s="378"/>
      <c r="H85" s="237" t="s">
        <v>16</v>
      </c>
      <c r="I85" s="252" t="s">
        <v>15</v>
      </c>
      <c r="J85" s="250" t="s">
        <v>14</v>
      </c>
      <c r="K85" s="250" t="s">
        <v>13</v>
      </c>
      <c r="L85" s="250" t="s">
        <v>12</v>
      </c>
      <c r="M85" s="250" t="s">
        <v>11</v>
      </c>
      <c r="N85" s="250" t="s">
        <v>10</v>
      </c>
      <c r="O85" s="250" t="s">
        <v>9</v>
      </c>
      <c r="P85" s="250" t="s">
        <v>8</v>
      </c>
      <c r="Q85" s="250" t="s">
        <v>7</v>
      </c>
      <c r="R85" s="250" t="s">
        <v>6</v>
      </c>
      <c r="S85" s="251" t="s">
        <v>5</v>
      </c>
      <c r="T85" s="250" t="s">
        <v>4</v>
      </c>
      <c r="U85" s="250" t="s">
        <v>3</v>
      </c>
      <c r="V85" s="250" t="s">
        <v>2</v>
      </c>
      <c r="W85" s="250" t="s">
        <v>1</v>
      </c>
      <c r="X85" s="249" t="s">
        <v>0</v>
      </c>
    </row>
    <row r="86" spans="1:24" s="143" customFormat="1" ht="6" customHeight="1" thickBot="1">
      <c r="A86" s="379"/>
      <c r="B86" s="380"/>
      <c r="C86" s="380"/>
      <c r="D86" s="380"/>
      <c r="E86" s="380"/>
      <c r="F86" s="380"/>
      <c r="G86" s="381"/>
      <c r="H86" s="179"/>
      <c r="I86" s="248"/>
      <c r="J86" s="246"/>
      <c r="K86" s="246"/>
      <c r="L86" s="246"/>
      <c r="M86" s="246"/>
      <c r="N86" s="246"/>
      <c r="O86" s="246"/>
      <c r="P86" s="246"/>
      <c r="Q86" s="246"/>
      <c r="R86" s="246"/>
      <c r="S86" s="247"/>
      <c r="T86" s="246"/>
      <c r="U86" s="246"/>
      <c r="V86" s="246"/>
      <c r="W86" s="246"/>
      <c r="X86" s="245"/>
    </row>
    <row r="87" spans="1:24" s="143" customFormat="1" ht="15" customHeight="1">
      <c r="A87" s="174"/>
      <c r="B87" s="365"/>
      <c r="C87" s="365"/>
      <c r="D87" s="365"/>
      <c r="E87" s="365"/>
      <c r="F87" s="365"/>
      <c r="G87" s="173"/>
      <c r="H87" s="172" t="s">
        <v>34</v>
      </c>
      <c r="I87" s="244" t="s">
        <v>34</v>
      </c>
      <c r="J87" s="243" t="s">
        <v>34</v>
      </c>
      <c r="K87" s="243" t="s">
        <v>34</v>
      </c>
      <c r="L87" s="243" t="s">
        <v>34</v>
      </c>
      <c r="M87" s="243" t="s">
        <v>34</v>
      </c>
      <c r="N87" s="243" t="s">
        <v>34</v>
      </c>
      <c r="O87" s="243" t="s">
        <v>34</v>
      </c>
      <c r="P87" s="243" t="s">
        <v>34</v>
      </c>
      <c r="Q87" s="243" t="s">
        <v>34</v>
      </c>
      <c r="R87" s="243" t="s">
        <v>34</v>
      </c>
      <c r="S87" s="243" t="s">
        <v>34</v>
      </c>
      <c r="T87" s="243" t="s">
        <v>34</v>
      </c>
      <c r="U87" s="243" t="s">
        <v>34</v>
      </c>
      <c r="V87" s="243" t="s">
        <v>34</v>
      </c>
      <c r="W87" s="243" t="s">
        <v>34</v>
      </c>
      <c r="X87" s="242" t="s">
        <v>34</v>
      </c>
    </row>
    <row r="88" spans="1:24" ht="19.899999999999999" customHeight="1">
      <c r="A88" s="166"/>
      <c r="B88" s="383" t="s">
        <v>121</v>
      </c>
      <c r="C88" s="383"/>
      <c r="D88" s="389" t="s">
        <v>111</v>
      </c>
      <c r="E88" s="389"/>
      <c r="F88" s="389"/>
      <c r="G88" s="162"/>
      <c r="H88" s="161">
        <f t="shared" ref="H88:H111" si="4">SUM(I88:X88)</f>
        <v>22</v>
      </c>
      <c r="I88" s="192">
        <v>3</v>
      </c>
      <c r="J88" s="191">
        <v>0</v>
      </c>
      <c r="K88" s="191">
        <v>0</v>
      </c>
      <c r="L88" s="191">
        <v>5</v>
      </c>
      <c r="M88" s="191">
        <v>0</v>
      </c>
      <c r="N88" s="191">
        <v>7</v>
      </c>
      <c r="O88" s="191">
        <v>0</v>
      </c>
      <c r="P88" s="191">
        <v>1</v>
      </c>
      <c r="Q88" s="191">
        <v>4</v>
      </c>
      <c r="R88" s="191">
        <v>0</v>
      </c>
      <c r="S88" s="191">
        <v>2</v>
      </c>
      <c r="T88" s="191">
        <v>0</v>
      </c>
      <c r="U88" s="191">
        <v>0</v>
      </c>
      <c r="V88" s="191">
        <v>0</v>
      </c>
      <c r="W88" s="191">
        <v>0</v>
      </c>
      <c r="X88" s="190">
        <v>0</v>
      </c>
    </row>
    <row r="89" spans="1:24" ht="19.899999999999999" customHeight="1">
      <c r="A89" s="166"/>
      <c r="B89" s="383" t="s">
        <v>120</v>
      </c>
      <c r="C89" s="383"/>
      <c r="D89" s="386" t="s">
        <v>119</v>
      </c>
      <c r="E89" s="386"/>
      <c r="F89" s="386"/>
      <c r="G89" s="162"/>
      <c r="H89" s="161">
        <f t="shared" si="4"/>
        <v>31</v>
      </c>
      <c r="I89" s="192">
        <v>1</v>
      </c>
      <c r="J89" s="191">
        <v>0</v>
      </c>
      <c r="K89" s="191">
        <v>0</v>
      </c>
      <c r="L89" s="191">
        <v>3</v>
      </c>
      <c r="M89" s="191">
        <v>9</v>
      </c>
      <c r="N89" s="191">
        <v>11</v>
      </c>
      <c r="O89" s="191">
        <v>1</v>
      </c>
      <c r="P89" s="191">
        <v>0</v>
      </c>
      <c r="Q89" s="191">
        <v>0</v>
      </c>
      <c r="R89" s="191">
        <v>0</v>
      </c>
      <c r="S89" s="191">
        <v>5</v>
      </c>
      <c r="T89" s="191">
        <v>0</v>
      </c>
      <c r="U89" s="191">
        <v>1</v>
      </c>
      <c r="V89" s="191">
        <v>0</v>
      </c>
      <c r="W89" s="191">
        <v>0</v>
      </c>
      <c r="X89" s="190">
        <v>0</v>
      </c>
    </row>
    <row r="90" spans="1:24" ht="19.899999999999999" customHeight="1">
      <c r="A90" s="166"/>
      <c r="B90" s="390" t="s">
        <v>118</v>
      </c>
      <c r="C90" s="390"/>
      <c r="D90" s="386" t="s">
        <v>117</v>
      </c>
      <c r="E90" s="386"/>
      <c r="F90" s="386"/>
      <c r="G90" s="162"/>
      <c r="H90" s="161">
        <f t="shared" si="4"/>
        <v>32</v>
      </c>
      <c r="I90" s="192">
        <v>4</v>
      </c>
      <c r="J90" s="191">
        <v>0</v>
      </c>
      <c r="K90" s="191">
        <v>0</v>
      </c>
      <c r="L90" s="191">
        <v>0</v>
      </c>
      <c r="M90" s="191">
        <v>0</v>
      </c>
      <c r="N90" s="191">
        <v>13</v>
      </c>
      <c r="O90" s="191">
        <v>0</v>
      </c>
      <c r="P90" s="191">
        <v>0</v>
      </c>
      <c r="Q90" s="191">
        <v>11</v>
      </c>
      <c r="R90" s="191">
        <v>0</v>
      </c>
      <c r="S90" s="191">
        <v>0</v>
      </c>
      <c r="T90" s="191">
        <v>0</v>
      </c>
      <c r="U90" s="191">
        <v>4</v>
      </c>
      <c r="V90" s="191">
        <v>0</v>
      </c>
      <c r="W90" s="191">
        <v>0</v>
      </c>
      <c r="X90" s="190">
        <v>0</v>
      </c>
    </row>
    <row r="91" spans="1:24" ht="19.899999999999999" customHeight="1">
      <c r="A91" s="166"/>
      <c r="B91" s="383" t="s">
        <v>116</v>
      </c>
      <c r="C91" s="383"/>
      <c r="D91" s="386" t="s">
        <v>114</v>
      </c>
      <c r="E91" s="386"/>
      <c r="F91" s="386"/>
      <c r="G91" s="162"/>
      <c r="H91" s="161">
        <f t="shared" si="4"/>
        <v>61</v>
      </c>
      <c r="I91" s="192">
        <v>0</v>
      </c>
      <c r="J91" s="191">
        <v>0</v>
      </c>
      <c r="K91" s="191">
        <v>0</v>
      </c>
      <c r="L91" s="191">
        <v>4</v>
      </c>
      <c r="M91" s="191">
        <v>5</v>
      </c>
      <c r="N91" s="191">
        <v>36</v>
      </c>
      <c r="O91" s="191">
        <v>1</v>
      </c>
      <c r="P91" s="191">
        <v>0</v>
      </c>
      <c r="Q91" s="191">
        <v>11</v>
      </c>
      <c r="R91" s="191">
        <v>0</v>
      </c>
      <c r="S91" s="191">
        <v>1</v>
      </c>
      <c r="T91" s="191">
        <v>0</v>
      </c>
      <c r="U91" s="191">
        <v>2</v>
      </c>
      <c r="V91" s="191">
        <v>1</v>
      </c>
      <c r="W91" s="191">
        <v>0</v>
      </c>
      <c r="X91" s="190">
        <v>0</v>
      </c>
    </row>
    <row r="92" spans="1:24" ht="19.899999999999999" customHeight="1">
      <c r="A92" s="166"/>
      <c r="B92" s="383" t="s">
        <v>115</v>
      </c>
      <c r="C92" s="383"/>
      <c r="D92" s="386" t="s">
        <v>114</v>
      </c>
      <c r="E92" s="386"/>
      <c r="F92" s="386"/>
      <c r="G92" s="162"/>
      <c r="H92" s="161">
        <f t="shared" si="4"/>
        <v>409</v>
      </c>
      <c r="I92" s="192">
        <v>17</v>
      </c>
      <c r="J92" s="191">
        <v>0</v>
      </c>
      <c r="K92" s="191">
        <v>1</v>
      </c>
      <c r="L92" s="191">
        <v>10</v>
      </c>
      <c r="M92" s="191">
        <v>29</v>
      </c>
      <c r="N92" s="191">
        <v>81</v>
      </c>
      <c r="O92" s="191">
        <v>13</v>
      </c>
      <c r="P92" s="191">
        <v>9</v>
      </c>
      <c r="Q92" s="191">
        <v>100</v>
      </c>
      <c r="R92" s="191">
        <v>1</v>
      </c>
      <c r="S92" s="191">
        <v>4</v>
      </c>
      <c r="T92" s="191">
        <v>0</v>
      </c>
      <c r="U92" s="191">
        <v>7</v>
      </c>
      <c r="V92" s="191">
        <v>4</v>
      </c>
      <c r="W92" s="191">
        <v>0</v>
      </c>
      <c r="X92" s="190">
        <f>10+123</f>
        <v>133</v>
      </c>
    </row>
    <row r="93" spans="1:24" ht="19.899999999999999" customHeight="1">
      <c r="A93" s="166"/>
      <c r="B93" s="383" t="s">
        <v>113</v>
      </c>
      <c r="C93" s="383"/>
      <c r="D93" s="386" t="s">
        <v>101</v>
      </c>
      <c r="E93" s="386"/>
      <c r="F93" s="386"/>
      <c r="G93" s="162"/>
      <c r="H93" s="161">
        <f t="shared" si="4"/>
        <v>210</v>
      </c>
      <c r="I93" s="192">
        <v>0</v>
      </c>
      <c r="J93" s="191">
        <v>0</v>
      </c>
      <c r="K93" s="191">
        <v>0</v>
      </c>
      <c r="L93" s="191">
        <v>26</v>
      </c>
      <c r="M93" s="191">
        <v>53</v>
      </c>
      <c r="N93" s="191">
        <v>31</v>
      </c>
      <c r="O93" s="191">
        <v>3</v>
      </c>
      <c r="P93" s="191">
        <v>23</v>
      </c>
      <c r="Q93" s="191">
        <v>49</v>
      </c>
      <c r="R93" s="191">
        <v>0</v>
      </c>
      <c r="S93" s="191">
        <v>0</v>
      </c>
      <c r="T93" s="191">
        <v>0</v>
      </c>
      <c r="U93" s="191">
        <v>2</v>
      </c>
      <c r="V93" s="191">
        <v>0</v>
      </c>
      <c r="W93" s="191">
        <v>0</v>
      </c>
      <c r="X93" s="190">
        <v>23</v>
      </c>
    </row>
    <row r="94" spans="1:24" ht="19.899999999999999" customHeight="1">
      <c r="A94" s="166"/>
      <c r="B94" s="383" t="s">
        <v>112</v>
      </c>
      <c r="C94" s="383"/>
      <c r="D94" s="386" t="s">
        <v>101</v>
      </c>
      <c r="E94" s="386"/>
      <c r="F94" s="386"/>
      <c r="G94" s="162"/>
      <c r="H94" s="161">
        <f t="shared" si="4"/>
        <v>88</v>
      </c>
      <c r="I94" s="192">
        <v>5</v>
      </c>
      <c r="J94" s="191">
        <v>0</v>
      </c>
      <c r="K94" s="191">
        <v>0</v>
      </c>
      <c r="L94" s="191">
        <v>4</v>
      </c>
      <c r="M94" s="191">
        <v>9</v>
      </c>
      <c r="N94" s="191">
        <v>40</v>
      </c>
      <c r="O94" s="191">
        <v>2</v>
      </c>
      <c r="P94" s="191">
        <v>0</v>
      </c>
      <c r="Q94" s="191">
        <v>23</v>
      </c>
      <c r="R94" s="191">
        <v>2</v>
      </c>
      <c r="S94" s="191">
        <v>0</v>
      </c>
      <c r="T94" s="191">
        <v>0</v>
      </c>
      <c r="U94" s="191">
        <v>1</v>
      </c>
      <c r="V94" s="191">
        <v>0</v>
      </c>
      <c r="W94" s="191">
        <v>0</v>
      </c>
      <c r="X94" s="190">
        <v>2</v>
      </c>
    </row>
    <row r="95" spans="1:24" ht="19.899999999999999" customHeight="1">
      <c r="A95" s="166"/>
      <c r="B95" s="383" t="s">
        <v>110</v>
      </c>
      <c r="C95" s="383"/>
      <c r="D95" s="386" t="s">
        <v>105</v>
      </c>
      <c r="E95" s="386"/>
      <c r="F95" s="386"/>
      <c r="G95" s="162"/>
      <c r="H95" s="161">
        <f t="shared" si="4"/>
        <v>120</v>
      </c>
      <c r="I95" s="192">
        <v>2</v>
      </c>
      <c r="J95" s="191">
        <v>0</v>
      </c>
      <c r="K95" s="191">
        <v>0</v>
      </c>
      <c r="L95" s="191">
        <v>7</v>
      </c>
      <c r="M95" s="191">
        <v>8</v>
      </c>
      <c r="N95" s="191">
        <v>30</v>
      </c>
      <c r="O95" s="191">
        <v>0</v>
      </c>
      <c r="P95" s="191">
        <v>0</v>
      </c>
      <c r="Q95" s="191">
        <v>8</v>
      </c>
      <c r="R95" s="191">
        <v>0</v>
      </c>
      <c r="S95" s="191">
        <v>0</v>
      </c>
      <c r="T95" s="191">
        <v>0</v>
      </c>
      <c r="U95" s="191">
        <v>10</v>
      </c>
      <c r="V95" s="191">
        <v>0</v>
      </c>
      <c r="W95" s="191">
        <v>0</v>
      </c>
      <c r="X95" s="190">
        <v>55</v>
      </c>
    </row>
    <row r="96" spans="1:24" ht="19.899999999999999" customHeight="1">
      <c r="A96" s="166"/>
      <c r="B96" s="383" t="s">
        <v>109</v>
      </c>
      <c r="C96" s="383"/>
      <c r="D96" s="386" t="s">
        <v>105</v>
      </c>
      <c r="E96" s="386"/>
      <c r="F96" s="386"/>
      <c r="G96" s="162"/>
      <c r="H96" s="161">
        <f t="shared" si="4"/>
        <v>17</v>
      </c>
      <c r="I96" s="192">
        <v>4</v>
      </c>
      <c r="J96" s="191">
        <v>0</v>
      </c>
      <c r="K96" s="191">
        <v>0</v>
      </c>
      <c r="L96" s="191">
        <v>1</v>
      </c>
      <c r="M96" s="191">
        <v>0</v>
      </c>
      <c r="N96" s="191">
        <v>3</v>
      </c>
      <c r="O96" s="191">
        <v>0</v>
      </c>
      <c r="P96" s="191">
        <v>0</v>
      </c>
      <c r="Q96" s="191">
        <v>0</v>
      </c>
      <c r="R96" s="191">
        <v>0</v>
      </c>
      <c r="S96" s="191">
        <v>1</v>
      </c>
      <c r="T96" s="191">
        <v>0</v>
      </c>
      <c r="U96" s="191">
        <v>0</v>
      </c>
      <c r="V96" s="191">
        <v>0</v>
      </c>
      <c r="W96" s="191">
        <v>0</v>
      </c>
      <c r="X96" s="190">
        <v>8</v>
      </c>
    </row>
    <row r="97" spans="1:24" ht="19.899999999999999" customHeight="1">
      <c r="A97" s="166"/>
      <c r="B97" s="383" t="s">
        <v>108</v>
      </c>
      <c r="C97" s="383"/>
      <c r="D97" s="386" t="s">
        <v>105</v>
      </c>
      <c r="E97" s="386"/>
      <c r="F97" s="386"/>
      <c r="G97" s="162"/>
      <c r="H97" s="161">
        <f t="shared" si="4"/>
        <v>63</v>
      </c>
      <c r="I97" s="192">
        <v>2</v>
      </c>
      <c r="J97" s="191">
        <v>0</v>
      </c>
      <c r="K97" s="191">
        <v>0</v>
      </c>
      <c r="L97" s="191">
        <v>1</v>
      </c>
      <c r="M97" s="191">
        <v>40</v>
      </c>
      <c r="N97" s="191">
        <v>5</v>
      </c>
      <c r="O97" s="191">
        <v>0</v>
      </c>
      <c r="P97" s="191">
        <v>2</v>
      </c>
      <c r="Q97" s="191">
        <v>2</v>
      </c>
      <c r="R97" s="191">
        <v>0</v>
      </c>
      <c r="S97" s="191">
        <v>4</v>
      </c>
      <c r="T97" s="191">
        <v>0</v>
      </c>
      <c r="U97" s="191">
        <v>0</v>
      </c>
      <c r="V97" s="191">
        <v>0</v>
      </c>
      <c r="W97" s="191">
        <v>0</v>
      </c>
      <c r="X97" s="190">
        <v>7</v>
      </c>
    </row>
    <row r="98" spans="1:24" ht="19.899999999999999" customHeight="1">
      <c r="A98" s="166"/>
      <c r="B98" s="383" t="s">
        <v>107</v>
      </c>
      <c r="C98" s="383"/>
      <c r="D98" s="386" t="s">
        <v>105</v>
      </c>
      <c r="E98" s="386"/>
      <c r="F98" s="386"/>
      <c r="G98" s="162"/>
      <c r="H98" s="161">
        <f t="shared" si="4"/>
        <v>77</v>
      </c>
      <c r="I98" s="192">
        <v>0</v>
      </c>
      <c r="J98" s="191">
        <v>0</v>
      </c>
      <c r="K98" s="191">
        <v>0</v>
      </c>
      <c r="L98" s="191">
        <v>2</v>
      </c>
      <c r="M98" s="191">
        <v>31</v>
      </c>
      <c r="N98" s="191">
        <v>4</v>
      </c>
      <c r="O98" s="191">
        <v>2</v>
      </c>
      <c r="P98" s="191">
        <v>0</v>
      </c>
      <c r="Q98" s="191">
        <v>0</v>
      </c>
      <c r="R98" s="191">
        <v>0</v>
      </c>
      <c r="S98" s="191">
        <v>3</v>
      </c>
      <c r="T98" s="191">
        <v>0</v>
      </c>
      <c r="U98" s="191">
        <v>0</v>
      </c>
      <c r="V98" s="191">
        <v>0</v>
      </c>
      <c r="W98" s="191">
        <v>0</v>
      </c>
      <c r="X98" s="190">
        <v>35</v>
      </c>
    </row>
    <row r="99" spans="1:24" ht="19.899999999999999" customHeight="1">
      <c r="A99" s="166"/>
      <c r="B99" s="383" t="s">
        <v>106</v>
      </c>
      <c r="C99" s="383"/>
      <c r="D99" s="386" t="s">
        <v>105</v>
      </c>
      <c r="E99" s="386"/>
      <c r="F99" s="386"/>
      <c r="G99" s="162"/>
      <c r="H99" s="161">
        <f t="shared" si="4"/>
        <v>1</v>
      </c>
      <c r="I99" s="192">
        <v>0</v>
      </c>
      <c r="J99" s="191">
        <v>0</v>
      </c>
      <c r="K99" s="191">
        <v>0</v>
      </c>
      <c r="L99" s="191">
        <v>0</v>
      </c>
      <c r="M99" s="191">
        <v>0</v>
      </c>
      <c r="N99" s="191">
        <v>0</v>
      </c>
      <c r="O99" s="191">
        <v>0</v>
      </c>
      <c r="P99" s="191">
        <v>0</v>
      </c>
      <c r="Q99" s="191">
        <v>0</v>
      </c>
      <c r="R99" s="191">
        <v>0</v>
      </c>
      <c r="S99" s="191">
        <v>0</v>
      </c>
      <c r="T99" s="191">
        <v>0</v>
      </c>
      <c r="U99" s="191">
        <v>0</v>
      </c>
      <c r="V99" s="191">
        <v>0</v>
      </c>
      <c r="W99" s="191">
        <v>0</v>
      </c>
      <c r="X99" s="190">
        <v>1</v>
      </c>
    </row>
    <row r="100" spans="1:24" ht="19.899999999999999" customHeight="1">
      <c r="A100" s="166"/>
      <c r="B100" s="383" t="s">
        <v>104</v>
      </c>
      <c r="C100" s="383"/>
      <c r="D100" s="386" t="s">
        <v>101</v>
      </c>
      <c r="E100" s="386"/>
      <c r="F100" s="386"/>
      <c r="G100" s="162"/>
      <c r="H100" s="161">
        <f t="shared" si="4"/>
        <v>59</v>
      </c>
      <c r="I100" s="192">
        <v>0</v>
      </c>
      <c r="J100" s="191">
        <v>0</v>
      </c>
      <c r="K100" s="191">
        <v>0</v>
      </c>
      <c r="L100" s="191">
        <v>0</v>
      </c>
      <c r="M100" s="191">
        <v>19</v>
      </c>
      <c r="N100" s="191">
        <v>14</v>
      </c>
      <c r="O100" s="191">
        <v>0</v>
      </c>
      <c r="P100" s="191">
        <v>0</v>
      </c>
      <c r="Q100" s="191">
        <v>5</v>
      </c>
      <c r="R100" s="191">
        <v>0</v>
      </c>
      <c r="S100" s="191">
        <v>2</v>
      </c>
      <c r="T100" s="191">
        <v>0</v>
      </c>
      <c r="U100" s="191">
        <v>0</v>
      </c>
      <c r="V100" s="191">
        <v>0</v>
      </c>
      <c r="W100" s="191">
        <v>0</v>
      </c>
      <c r="X100" s="190">
        <v>19</v>
      </c>
    </row>
    <row r="101" spans="1:24" ht="19.899999999999999" customHeight="1">
      <c r="A101" s="166"/>
      <c r="B101" s="383" t="s">
        <v>210</v>
      </c>
      <c r="C101" s="383"/>
      <c r="D101" s="386" t="s">
        <v>101</v>
      </c>
      <c r="E101" s="386"/>
      <c r="F101" s="386"/>
      <c r="G101" s="162"/>
      <c r="H101" s="161">
        <f t="shared" si="4"/>
        <v>427</v>
      </c>
      <c r="I101" s="192">
        <v>2</v>
      </c>
      <c r="J101" s="191">
        <v>0</v>
      </c>
      <c r="K101" s="191">
        <v>0</v>
      </c>
      <c r="L101" s="191">
        <v>39</v>
      </c>
      <c r="M101" s="191">
        <v>260</v>
      </c>
      <c r="N101" s="191">
        <v>57</v>
      </c>
      <c r="O101" s="191">
        <v>3</v>
      </c>
      <c r="P101" s="191">
        <v>0</v>
      </c>
      <c r="Q101" s="191">
        <v>9</v>
      </c>
      <c r="R101" s="191">
        <v>0</v>
      </c>
      <c r="S101" s="191">
        <v>4</v>
      </c>
      <c r="T101" s="191">
        <v>0</v>
      </c>
      <c r="U101" s="191">
        <v>6</v>
      </c>
      <c r="V101" s="191">
        <v>0</v>
      </c>
      <c r="W101" s="191">
        <v>0</v>
      </c>
      <c r="X101" s="190">
        <v>47</v>
      </c>
    </row>
    <row r="102" spans="1:24" ht="19.899999999999999" customHeight="1">
      <c r="A102" s="166"/>
      <c r="B102" s="383" t="s">
        <v>102</v>
      </c>
      <c r="C102" s="383"/>
      <c r="D102" s="386" t="s">
        <v>101</v>
      </c>
      <c r="E102" s="386"/>
      <c r="F102" s="386"/>
      <c r="G102" s="162"/>
      <c r="H102" s="161">
        <f t="shared" si="4"/>
        <v>109</v>
      </c>
      <c r="I102" s="192">
        <v>1</v>
      </c>
      <c r="J102" s="191">
        <v>0</v>
      </c>
      <c r="K102" s="191">
        <v>0</v>
      </c>
      <c r="L102" s="191">
        <v>5</v>
      </c>
      <c r="M102" s="191">
        <v>38</v>
      </c>
      <c r="N102" s="191">
        <v>15</v>
      </c>
      <c r="O102" s="191">
        <v>8</v>
      </c>
      <c r="P102" s="191">
        <v>2</v>
      </c>
      <c r="Q102" s="191">
        <v>30</v>
      </c>
      <c r="R102" s="191">
        <v>0</v>
      </c>
      <c r="S102" s="191">
        <v>0</v>
      </c>
      <c r="T102" s="191">
        <v>0</v>
      </c>
      <c r="U102" s="191">
        <v>0</v>
      </c>
      <c r="V102" s="191">
        <v>0</v>
      </c>
      <c r="W102" s="191">
        <v>0</v>
      </c>
      <c r="X102" s="190">
        <v>10</v>
      </c>
    </row>
    <row r="103" spans="1:24" ht="19.899999999999999" customHeight="1">
      <c r="A103" s="166"/>
      <c r="B103" s="383" t="s">
        <v>100</v>
      </c>
      <c r="C103" s="383"/>
      <c r="D103" s="386" t="s">
        <v>17</v>
      </c>
      <c r="E103" s="386"/>
      <c r="F103" s="386"/>
      <c r="G103" s="162"/>
      <c r="H103" s="161">
        <f t="shared" si="4"/>
        <v>177</v>
      </c>
      <c r="I103" s="192">
        <v>2</v>
      </c>
      <c r="J103" s="191">
        <v>0</v>
      </c>
      <c r="K103" s="191">
        <v>0</v>
      </c>
      <c r="L103" s="191">
        <v>3</v>
      </c>
      <c r="M103" s="191">
        <v>25</v>
      </c>
      <c r="N103" s="191">
        <v>81</v>
      </c>
      <c r="O103" s="191">
        <v>9</v>
      </c>
      <c r="P103" s="191">
        <v>3</v>
      </c>
      <c r="Q103" s="191">
        <v>18</v>
      </c>
      <c r="R103" s="191">
        <v>0</v>
      </c>
      <c r="S103" s="191">
        <f>19+6</f>
        <v>25</v>
      </c>
      <c r="T103" s="191">
        <v>0</v>
      </c>
      <c r="U103" s="191">
        <v>1</v>
      </c>
      <c r="V103" s="191">
        <v>0</v>
      </c>
      <c r="W103" s="191">
        <v>0</v>
      </c>
      <c r="X103" s="190">
        <v>10</v>
      </c>
    </row>
    <row r="104" spans="1:24" ht="19.899999999999999" customHeight="1">
      <c r="A104" s="166"/>
      <c r="B104" s="383" t="s">
        <v>209</v>
      </c>
      <c r="C104" s="383"/>
      <c r="D104" s="386" t="s">
        <v>17</v>
      </c>
      <c r="E104" s="386"/>
      <c r="F104" s="386"/>
      <c r="G104" s="162"/>
      <c r="H104" s="161">
        <f t="shared" si="4"/>
        <v>27</v>
      </c>
      <c r="I104" s="192">
        <v>2</v>
      </c>
      <c r="J104" s="191">
        <v>0</v>
      </c>
      <c r="K104" s="191">
        <v>1</v>
      </c>
      <c r="L104" s="191">
        <v>5</v>
      </c>
      <c r="M104" s="191">
        <v>0</v>
      </c>
      <c r="N104" s="191">
        <v>10</v>
      </c>
      <c r="O104" s="191">
        <v>2</v>
      </c>
      <c r="P104" s="191">
        <v>0</v>
      </c>
      <c r="Q104" s="191">
        <v>6</v>
      </c>
      <c r="R104" s="191">
        <v>0</v>
      </c>
      <c r="S104" s="191">
        <v>1</v>
      </c>
      <c r="T104" s="191">
        <v>0</v>
      </c>
      <c r="U104" s="191">
        <v>0</v>
      </c>
      <c r="V104" s="191">
        <v>0</v>
      </c>
      <c r="W104" s="191">
        <v>0</v>
      </c>
      <c r="X104" s="190">
        <v>0</v>
      </c>
    </row>
    <row r="105" spans="1:24" ht="19.899999999999999" customHeight="1">
      <c r="A105" s="166"/>
      <c r="B105" s="383" t="s">
        <v>98</v>
      </c>
      <c r="C105" s="383"/>
      <c r="D105" s="389" t="s">
        <v>89</v>
      </c>
      <c r="E105" s="389"/>
      <c r="F105" s="389"/>
      <c r="G105" s="162"/>
      <c r="H105" s="161">
        <f t="shared" si="4"/>
        <v>87352</v>
      </c>
      <c r="I105" s="160">
        <v>80695</v>
      </c>
      <c r="J105" s="189">
        <v>0</v>
      </c>
      <c r="K105" s="189">
        <v>2</v>
      </c>
      <c r="L105" s="189">
        <v>1131</v>
      </c>
      <c r="M105" s="189">
        <v>9</v>
      </c>
      <c r="N105" s="189">
        <v>0</v>
      </c>
      <c r="O105" s="189">
        <v>0</v>
      </c>
      <c r="P105" s="189">
        <v>23</v>
      </c>
      <c r="Q105" s="189">
        <v>0</v>
      </c>
      <c r="R105" s="189">
        <v>13</v>
      </c>
      <c r="S105" s="189">
        <v>470</v>
      </c>
      <c r="T105" s="189">
        <v>12</v>
      </c>
      <c r="U105" s="189">
        <v>4795</v>
      </c>
      <c r="V105" s="189">
        <v>0</v>
      </c>
      <c r="W105" s="189">
        <v>0</v>
      </c>
      <c r="X105" s="158">
        <v>202</v>
      </c>
    </row>
    <row r="106" spans="1:24" ht="19.899999999999999" customHeight="1">
      <c r="A106" s="166"/>
      <c r="B106" s="383" t="s">
        <v>97</v>
      </c>
      <c r="C106" s="383"/>
      <c r="D106" s="386" t="s">
        <v>17</v>
      </c>
      <c r="E106" s="386"/>
      <c r="F106" s="386"/>
      <c r="G106" s="162"/>
      <c r="H106" s="161">
        <f t="shared" si="4"/>
        <v>85463</v>
      </c>
      <c r="I106" s="160">
        <v>26</v>
      </c>
      <c r="J106" s="189">
        <v>2289</v>
      </c>
      <c r="K106" s="189">
        <v>36</v>
      </c>
      <c r="L106" s="189">
        <v>118</v>
      </c>
      <c r="M106" s="189">
        <v>19</v>
      </c>
      <c r="N106" s="189">
        <v>475</v>
      </c>
      <c r="O106" s="189">
        <v>0</v>
      </c>
      <c r="P106" s="189">
        <v>1</v>
      </c>
      <c r="Q106" s="189">
        <v>0</v>
      </c>
      <c r="R106" s="189">
        <v>54</v>
      </c>
      <c r="S106" s="189">
        <v>60256</v>
      </c>
      <c r="T106" s="189">
        <v>2</v>
      </c>
      <c r="U106" s="189">
        <v>8</v>
      </c>
      <c r="V106" s="189">
        <v>0</v>
      </c>
      <c r="W106" s="189">
        <v>1</v>
      </c>
      <c r="X106" s="158">
        <v>22178</v>
      </c>
    </row>
    <row r="107" spans="1:24" ht="19.899999999999999" customHeight="1">
      <c r="A107" s="166"/>
      <c r="B107" s="383" t="s">
        <v>96</v>
      </c>
      <c r="C107" s="383"/>
      <c r="D107" s="386" t="s">
        <v>17</v>
      </c>
      <c r="E107" s="386"/>
      <c r="F107" s="386"/>
      <c r="G107" s="162"/>
      <c r="H107" s="161">
        <f t="shared" si="4"/>
        <v>2411</v>
      </c>
      <c r="I107" s="160">
        <v>16</v>
      </c>
      <c r="J107" s="189">
        <v>36</v>
      </c>
      <c r="K107" s="189">
        <v>6</v>
      </c>
      <c r="L107" s="189">
        <v>196</v>
      </c>
      <c r="M107" s="189">
        <v>98</v>
      </c>
      <c r="N107" s="189">
        <v>175</v>
      </c>
      <c r="O107" s="189">
        <v>9</v>
      </c>
      <c r="P107" s="189">
        <v>7</v>
      </c>
      <c r="Q107" s="189">
        <v>118</v>
      </c>
      <c r="R107" s="189">
        <v>77</v>
      </c>
      <c r="S107" s="189">
        <v>47</v>
      </c>
      <c r="T107" s="189">
        <v>0</v>
      </c>
      <c r="U107" s="189">
        <v>395</v>
      </c>
      <c r="V107" s="189">
        <v>0</v>
      </c>
      <c r="W107" s="189">
        <v>27</v>
      </c>
      <c r="X107" s="158">
        <v>1204</v>
      </c>
    </row>
    <row r="108" spans="1:24" ht="19.899999999999999" customHeight="1">
      <c r="A108" s="166"/>
      <c r="B108" s="383" t="s">
        <v>94</v>
      </c>
      <c r="C108" s="383"/>
      <c r="D108" s="386" t="s">
        <v>17</v>
      </c>
      <c r="E108" s="386"/>
      <c r="F108" s="386"/>
      <c r="G108" s="162"/>
      <c r="H108" s="161">
        <f t="shared" si="4"/>
        <v>85408</v>
      </c>
      <c r="I108" s="160">
        <v>0</v>
      </c>
      <c r="J108" s="189">
        <v>19</v>
      </c>
      <c r="K108" s="189">
        <v>7</v>
      </c>
      <c r="L108" s="189">
        <v>130</v>
      </c>
      <c r="M108" s="189">
        <v>140</v>
      </c>
      <c r="N108" s="189">
        <v>0</v>
      </c>
      <c r="O108" s="189">
        <v>2</v>
      </c>
      <c r="P108" s="189">
        <v>55</v>
      </c>
      <c r="Q108" s="189">
        <v>34</v>
      </c>
      <c r="R108" s="189">
        <v>371</v>
      </c>
      <c r="S108" s="189">
        <v>49</v>
      </c>
      <c r="T108" s="189">
        <v>8</v>
      </c>
      <c r="U108" s="189">
        <v>40842</v>
      </c>
      <c r="V108" s="189">
        <v>0</v>
      </c>
      <c r="W108" s="189">
        <v>2</v>
      </c>
      <c r="X108" s="158">
        <v>43749</v>
      </c>
    </row>
    <row r="109" spans="1:24" ht="19.899999999999999" customHeight="1">
      <c r="A109" s="166"/>
      <c r="B109" s="383" t="s">
        <v>93</v>
      </c>
      <c r="C109" s="383"/>
      <c r="D109" s="386" t="s">
        <v>17</v>
      </c>
      <c r="E109" s="386"/>
      <c r="F109" s="386"/>
      <c r="G109" s="162"/>
      <c r="H109" s="161">
        <f t="shared" si="4"/>
        <v>110679</v>
      </c>
      <c r="I109" s="160">
        <v>9</v>
      </c>
      <c r="J109" s="189">
        <v>0</v>
      </c>
      <c r="K109" s="189">
        <v>0</v>
      </c>
      <c r="L109" s="189">
        <v>111</v>
      </c>
      <c r="M109" s="189">
        <v>37</v>
      </c>
      <c r="N109" s="189">
        <v>55</v>
      </c>
      <c r="O109" s="189">
        <v>5</v>
      </c>
      <c r="P109" s="189">
        <v>4</v>
      </c>
      <c r="Q109" s="189">
        <v>51</v>
      </c>
      <c r="R109" s="189">
        <v>6</v>
      </c>
      <c r="S109" s="189">
        <v>85</v>
      </c>
      <c r="T109" s="189">
        <v>11</v>
      </c>
      <c r="U109" s="189">
        <v>2695</v>
      </c>
      <c r="V109" s="189">
        <v>0</v>
      </c>
      <c r="W109" s="189">
        <v>0</v>
      </c>
      <c r="X109" s="158">
        <v>107610</v>
      </c>
    </row>
    <row r="110" spans="1:24" ht="19.899999999999999" customHeight="1">
      <c r="A110" s="166"/>
      <c r="B110" s="383" t="s">
        <v>90</v>
      </c>
      <c r="C110" s="383"/>
      <c r="D110" s="386" t="s">
        <v>17</v>
      </c>
      <c r="E110" s="386"/>
      <c r="F110" s="386"/>
      <c r="G110" s="162"/>
      <c r="H110" s="161">
        <f t="shared" si="4"/>
        <v>184902</v>
      </c>
      <c r="I110" s="160">
        <v>219</v>
      </c>
      <c r="J110" s="189">
        <v>0</v>
      </c>
      <c r="K110" s="189">
        <v>2</v>
      </c>
      <c r="L110" s="189">
        <v>1843</v>
      </c>
      <c r="M110" s="189">
        <v>0</v>
      </c>
      <c r="N110" s="189">
        <v>559</v>
      </c>
      <c r="O110" s="189">
        <v>2310</v>
      </c>
      <c r="P110" s="189">
        <v>15</v>
      </c>
      <c r="Q110" s="189">
        <v>182</v>
      </c>
      <c r="R110" s="189">
        <v>3505</v>
      </c>
      <c r="S110" s="189">
        <v>630</v>
      </c>
      <c r="T110" s="189">
        <v>18</v>
      </c>
      <c r="U110" s="189">
        <v>2056</v>
      </c>
      <c r="V110" s="189">
        <v>0</v>
      </c>
      <c r="W110" s="189">
        <v>0</v>
      </c>
      <c r="X110" s="158">
        <v>173563</v>
      </c>
    </row>
    <row r="111" spans="1:24" ht="23.25" customHeight="1" thickBot="1">
      <c r="A111" s="157"/>
      <c r="B111" s="387" t="s">
        <v>88</v>
      </c>
      <c r="C111" s="387"/>
      <c r="D111" s="388" t="s">
        <v>17</v>
      </c>
      <c r="E111" s="388"/>
      <c r="F111" s="388"/>
      <c r="G111" s="154"/>
      <c r="H111" s="153">
        <f t="shared" si="4"/>
        <v>36822</v>
      </c>
      <c r="I111" s="152">
        <v>0</v>
      </c>
      <c r="J111" s="208">
        <v>0</v>
      </c>
      <c r="K111" s="208">
        <v>4</v>
      </c>
      <c r="L111" s="208">
        <v>100</v>
      </c>
      <c r="M111" s="208">
        <v>0</v>
      </c>
      <c r="N111" s="208">
        <v>764</v>
      </c>
      <c r="O111" s="208">
        <v>0</v>
      </c>
      <c r="P111" s="208">
        <v>0</v>
      </c>
      <c r="Q111" s="208">
        <v>40</v>
      </c>
      <c r="R111" s="208">
        <v>0</v>
      </c>
      <c r="S111" s="208">
        <v>88</v>
      </c>
      <c r="T111" s="208">
        <v>0</v>
      </c>
      <c r="U111" s="208">
        <v>532</v>
      </c>
      <c r="V111" s="208">
        <v>0</v>
      </c>
      <c r="W111" s="208">
        <v>0</v>
      </c>
      <c r="X111" s="150">
        <v>35294</v>
      </c>
    </row>
  </sheetData>
  <mergeCells count="189">
    <mergeCell ref="B1:F1"/>
    <mergeCell ref="A2:G4"/>
    <mergeCell ref="B5:F5"/>
    <mergeCell ref="B6:F6"/>
    <mergeCell ref="B7:F7"/>
    <mergeCell ref="B8:C8"/>
    <mergeCell ref="D8:F8"/>
    <mergeCell ref="B12:C12"/>
    <mergeCell ref="D12:F12"/>
    <mergeCell ref="B13:C13"/>
    <mergeCell ref="D13:F13"/>
    <mergeCell ref="B14:C14"/>
    <mergeCell ref="D14:F14"/>
    <mergeCell ref="B9:C9"/>
    <mergeCell ref="D9:F9"/>
    <mergeCell ref="B10:C10"/>
    <mergeCell ref="D10:F10"/>
    <mergeCell ref="B11:C11"/>
    <mergeCell ref="D11:F11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24:C24"/>
    <mergeCell ref="D24:F24"/>
    <mergeCell ref="B25:C25"/>
    <mergeCell ref="D25:F25"/>
    <mergeCell ref="B26:C26"/>
    <mergeCell ref="D26:F26"/>
    <mergeCell ref="B21:C21"/>
    <mergeCell ref="D21:F21"/>
    <mergeCell ref="B22:C22"/>
    <mergeCell ref="D22:F22"/>
    <mergeCell ref="B23:C23"/>
    <mergeCell ref="D23:F23"/>
    <mergeCell ref="B34:C34"/>
    <mergeCell ref="D34:F34"/>
    <mergeCell ref="B35:C35"/>
    <mergeCell ref="D35:F35"/>
    <mergeCell ref="B36:C36"/>
    <mergeCell ref="D36:F36"/>
    <mergeCell ref="A28:G30"/>
    <mergeCell ref="B31:F31"/>
    <mergeCell ref="B32:C32"/>
    <mergeCell ref="D32:F32"/>
    <mergeCell ref="B33:C33"/>
    <mergeCell ref="D33:F33"/>
    <mergeCell ref="B40:C40"/>
    <mergeCell ref="D40:F40"/>
    <mergeCell ref="B41:C41"/>
    <mergeCell ref="D41:F41"/>
    <mergeCell ref="B42:C42"/>
    <mergeCell ref="D42:F42"/>
    <mergeCell ref="B37:C37"/>
    <mergeCell ref="D37:F37"/>
    <mergeCell ref="B38:C38"/>
    <mergeCell ref="D38:F38"/>
    <mergeCell ref="B39:C39"/>
    <mergeCell ref="D39:F39"/>
    <mergeCell ref="B46:C46"/>
    <mergeCell ref="D46:F46"/>
    <mergeCell ref="B47:C47"/>
    <mergeCell ref="D47:F47"/>
    <mergeCell ref="B48:C48"/>
    <mergeCell ref="D48:F48"/>
    <mergeCell ref="B43:C43"/>
    <mergeCell ref="D43:F43"/>
    <mergeCell ref="B44:C44"/>
    <mergeCell ref="D44:F44"/>
    <mergeCell ref="B45:C45"/>
    <mergeCell ref="D45:F45"/>
    <mergeCell ref="B52:C52"/>
    <mergeCell ref="D52:F52"/>
    <mergeCell ref="B53:C53"/>
    <mergeCell ref="D53:F53"/>
    <mergeCell ref="B54:C54"/>
    <mergeCell ref="D54:F54"/>
    <mergeCell ref="B49:C49"/>
    <mergeCell ref="D49:F49"/>
    <mergeCell ref="B50:C50"/>
    <mergeCell ref="D50:F50"/>
    <mergeCell ref="B51:C51"/>
    <mergeCell ref="D51:F51"/>
    <mergeCell ref="B62:C62"/>
    <mergeCell ref="D62:F62"/>
    <mergeCell ref="B63:C63"/>
    <mergeCell ref="D63:F63"/>
    <mergeCell ref="B64:C64"/>
    <mergeCell ref="D64:F64"/>
    <mergeCell ref="A56:G58"/>
    <mergeCell ref="B59:F59"/>
    <mergeCell ref="B60:C60"/>
    <mergeCell ref="D60:F60"/>
    <mergeCell ref="B61:C61"/>
    <mergeCell ref="D61:F61"/>
    <mergeCell ref="B68:C68"/>
    <mergeCell ref="D68:F68"/>
    <mergeCell ref="B69:C69"/>
    <mergeCell ref="D69:F69"/>
    <mergeCell ref="B70:C70"/>
    <mergeCell ref="D70:F70"/>
    <mergeCell ref="B65:C65"/>
    <mergeCell ref="D65:F65"/>
    <mergeCell ref="B66:C66"/>
    <mergeCell ref="D66:F66"/>
    <mergeCell ref="B67:C67"/>
    <mergeCell ref="D67:F67"/>
    <mergeCell ref="B74:C74"/>
    <mergeCell ref="D74:F74"/>
    <mergeCell ref="B75:C75"/>
    <mergeCell ref="D75:F75"/>
    <mergeCell ref="B76:C76"/>
    <mergeCell ref="D76:F76"/>
    <mergeCell ref="B71:C71"/>
    <mergeCell ref="D71:F71"/>
    <mergeCell ref="B72:C72"/>
    <mergeCell ref="D72:F72"/>
    <mergeCell ref="B73:C73"/>
    <mergeCell ref="D73:F73"/>
    <mergeCell ref="B80:C80"/>
    <mergeCell ref="D80:F80"/>
    <mergeCell ref="B81:C81"/>
    <mergeCell ref="D81:F81"/>
    <mergeCell ref="B82:C82"/>
    <mergeCell ref="D82:F82"/>
    <mergeCell ref="B77:C77"/>
    <mergeCell ref="D77:F77"/>
    <mergeCell ref="B78:C78"/>
    <mergeCell ref="D78:F78"/>
    <mergeCell ref="B79:C79"/>
    <mergeCell ref="D79:F79"/>
    <mergeCell ref="B90:C90"/>
    <mergeCell ref="D90:F90"/>
    <mergeCell ref="B91:C91"/>
    <mergeCell ref="D91:F91"/>
    <mergeCell ref="B92:C92"/>
    <mergeCell ref="D92:F92"/>
    <mergeCell ref="A84:G86"/>
    <mergeCell ref="B87:F87"/>
    <mergeCell ref="B88:C88"/>
    <mergeCell ref="D88:F88"/>
    <mergeCell ref="B89:C89"/>
    <mergeCell ref="D89:F89"/>
    <mergeCell ref="B96:C96"/>
    <mergeCell ref="D96:F96"/>
    <mergeCell ref="B97:C97"/>
    <mergeCell ref="D97:F97"/>
    <mergeCell ref="B98:C98"/>
    <mergeCell ref="D98:F98"/>
    <mergeCell ref="B93:C93"/>
    <mergeCell ref="D93:F93"/>
    <mergeCell ref="B94:C94"/>
    <mergeCell ref="D94:F94"/>
    <mergeCell ref="B95:C95"/>
    <mergeCell ref="D95:F95"/>
    <mergeCell ref="B102:C102"/>
    <mergeCell ref="D102:F102"/>
    <mergeCell ref="B103:C103"/>
    <mergeCell ref="D103:F103"/>
    <mergeCell ref="B105:C105"/>
    <mergeCell ref="D105:F105"/>
    <mergeCell ref="B104:C104"/>
    <mergeCell ref="D104:F104"/>
    <mergeCell ref="B99:C99"/>
    <mergeCell ref="D99:F99"/>
    <mergeCell ref="B100:C100"/>
    <mergeCell ref="D100:F100"/>
    <mergeCell ref="B101:C101"/>
    <mergeCell ref="D101:F101"/>
    <mergeCell ref="B109:C109"/>
    <mergeCell ref="D109:F109"/>
    <mergeCell ref="B110:C110"/>
    <mergeCell ref="D110:F110"/>
    <mergeCell ref="B111:C111"/>
    <mergeCell ref="D111:F111"/>
    <mergeCell ref="B106:C106"/>
    <mergeCell ref="D106:F106"/>
    <mergeCell ref="B107:C107"/>
    <mergeCell ref="D107:F107"/>
    <mergeCell ref="B108:C108"/>
    <mergeCell ref="D108:F108"/>
  </mergeCells>
  <phoneticPr fontId="1"/>
  <pageMargins left="0.7" right="0.7" top="0.75" bottom="0.75" header="0.3" footer="0.3"/>
  <pageSetup paperSize="9" scale="89" orientation="landscape" r:id="rId1"/>
  <rowBreaks count="3" manualBreakCount="3">
    <brk id="26" max="16383" man="1"/>
    <brk id="54" max="16383" man="1"/>
    <brk id="8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view="pageBreakPreview" zoomScaleNormal="120" zoomScaleSheetLayoutView="100" workbookViewId="0">
      <selection activeCell="AA18" sqref="AA17:AA18"/>
    </sheetView>
  </sheetViews>
  <sheetFormatPr defaultRowHeight="10.5"/>
  <cols>
    <col min="1" max="1" width="7.5" style="273" customWidth="1"/>
    <col min="2" max="2" width="4" style="273" customWidth="1"/>
    <col min="3" max="3" width="6.375" style="273" customWidth="1"/>
    <col min="4" max="4" width="3.25" style="273" customWidth="1"/>
    <col min="5" max="5" width="6.125" style="273" customWidth="1"/>
    <col min="6" max="6" width="3.25" style="273" customWidth="1"/>
    <col min="7" max="7" width="5.625" style="273" customWidth="1"/>
    <col min="8" max="8" width="3.25" style="273" customWidth="1"/>
    <col min="9" max="9" width="5.75" style="273" customWidth="1"/>
    <col min="10" max="10" width="3.25" style="273" customWidth="1"/>
    <col min="11" max="11" width="5.25" style="273" customWidth="1"/>
    <col min="12" max="12" width="2.625" style="273" customWidth="1"/>
    <col min="13" max="13" width="5.125" style="273" customWidth="1"/>
    <col min="14" max="14" width="2.25" style="273" customWidth="1"/>
    <col min="15" max="15" width="5" style="273" customWidth="1"/>
    <col min="16" max="16" width="2.625" style="273" customWidth="1"/>
    <col min="17" max="17" width="5.625" style="273" customWidth="1"/>
    <col min="18" max="18" width="2.625" style="273" customWidth="1"/>
    <col min="19" max="19" width="5.5" style="273" customWidth="1"/>
    <col min="20" max="20" width="3.125" style="273" customWidth="1"/>
    <col min="21" max="21" width="5.5" style="273" customWidth="1"/>
    <col min="22" max="22" width="2.625" style="273" customWidth="1"/>
    <col min="23" max="23" width="5.5" style="273" customWidth="1"/>
    <col min="24" max="24" width="2.25" style="273" customWidth="1"/>
    <col min="25" max="25" width="5.5" style="273" customWidth="1"/>
    <col min="26" max="16384" width="9" style="273"/>
  </cols>
  <sheetData>
    <row r="1" spans="1:25" s="305" customFormat="1" ht="29.25" customHeight="1">
      <c r="A1" s="431" t="s">
        <v>247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</row>
    <row r="2" spans="1:25" ht="21" customHeight="1" thickBot="1">
      <c r="A2" s="304" t="s">
        <v>246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</row>
    <row r="3" spans="1:25" ht="27" customHeight="1">
      <c r="A3" s="416" t="s">
        <v>228</v>
      </c>
      <c r="B3" s="416" t="s">
        <v>245</v>
      </c>
      <c r="C3" s="433"/>
      <c r="D3" s="435" t="s">
        <v>244</v>
      </c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 t="s">
        <v>243</v>
      </c>
      <c r="Q3" s="426"/>
      <c r="R3" s="426" t="s">
        <v>242</v>
      </c>
      <c r="S3" s="426"/>
      <c r="T3" s="426"/>
      <c r="U3" s="426"/>
      <c r="V3" s="426"/>
      <c r="W3" s="426"/>
      <c r="X3" s="426" t="s">
        <v>241</v>
      </c>
      <c r="Y3" s="427"/>
    </row>
    <row r="4" spans="1:25" ht="27" customHeight="1" thickBot="1">
      <c r="A4" s="432"/>
      <c r="B4" s="432"/>
      <c r="C4" s="434"/>
      <c r="D4" s="430" t="s">
        <v>240</v>
      </c>
      <c r="E4" s="428"/>
      <c r="F4" s="428" t="s">
        <v>239</v>
      </c>
      <c r="G4" s="428"/>
      <c r="H4" s="428" t="s">
        <v>238</v>
      </c>
      <c r="I4" s="428"/>
      <c r="J4" s="428" t="s">
        <v>237</v>
      </c>
      <c r="K4" s="428"/>
      <c r="L4" s="428" t="s">
        <v>236</v>
      </c>
      <c r="M4" s="428"/>
      <c r="N4" s="428" t="s">
        <v>235</v>
      </c>
      <c r="O4" s="428"/>
      <c r="P4" s="428"/>
      <c r="Q4" s="428"/>
      <c r="R4" s="428" t="s">
        <v>234</v>
      </c>
      <c r="S4" s="428"/>
      <c r="T4" s="428" t="s">
        <v>233</v>
      </c>
      <c r="U4" s="428"/>
      <c r="V4" s="428" t="s">
        <v>232</v>
      </c>
      <c r="W4" s="428"/>
      <c r="X4" s="428"/>
      <c r="Y4" s="429"/>
    </row>
    <row r="5" spans="1:25" ht="18" customHeight="1">
      <c r="A5" s="416" t="s">
        <v>221</v>
      </c>
      <c r="B5" s="302" t="s">
        <v>231</v>
      </c>
      <c r="C5" s="298" t="s">
        <v>230</v>
      </c>
      <c r="D5" s="301" t="s">
        <v>231</v>
      </c>
      <c r="E5" s="300" t="s">
        <v>230</v>
      </c>
      <c r="F5" s="299" t="s">
        <v>231</v>
      </c>
      <c r="G5" s="299" t="s">
        <v>230</v>
      </c>
      <c r="H5" s="299" t="s">
        <v>231</v>
      </c>
      <c r="I5" s="299" t="s">
        <v>230</v>
      </c>
      <c r="J5" s="299" t="s">
        <v>231</v>
      </c>
      <c r="K5" s="299" t="s">
        <v>230</v>
      </c>
      <c r="L5" s="299" t="s">
        <v>231</v>
      </c>
      <c r="M5" s="299" t="s">
        <v>230</v>
      </c>
      <c r="N5" s="299" t="s">
        <v>231</v>
      </c>
      <c r="O5" s="299" t="s">
        <v>230</v>
      </c>
      <c r="P5" s="299" t="s">
        <v>231</v>
      </c>
      <c r="Q5" s="299" t="s">
        <v>230</v>
      </c>
      <c r="R5" s="299" t="s">
        <v>231</v>
      </c>
      <c r="S5" s="299" t="s">
        <v>230</v>
      </c>
      <c r="T5" s="299" t="s">
        <v>231</v>
      </c>
      <c r="U5" s="299" t="s">
        <v>230</v>
      </c>
      <c r="V5" s="299" t="s">
        <v>231</v>
      </c>
      <c r="W5" s="299" t="s">
        <v>230</v>
      </c>
      <c r="X5" s="299" t="s">
        <v>231</v>
      </c>
      <c r="Y5" s="298" t="s">
        <v>230</v>
      </c>
    </row>
    <row r="6" spans="1:25" ht="27" customHeight="1" thickBot="1">
      <c r="A6" s="417"/>
      <c r="B6" s="288">
        <f>SUM(D6,F6,H6,J6,L6,P6,R6,T6,V6,X6)</f>
        <v>1506</v>
      </c>
      <c r="C6" s="287">
        <f t="shared" ref="C6:Y6" si="0">SUM(C7:C9)</f>
        <v>203297</v>
      </c>
      <c r="D6" s="297">
        <f t="shared" si="0"/>
        <v>634</v>
      </c>
      <c r="E6" s="296">
        <f t="shared" si="0"/>
        <v>98179</v>
      </c>
      <c r="F6" s="296">
        <f t="shared" si="0"/>
        <v>663</v>
      </c>
      <c r="G6" s="296">
        <f t="shared" si="0"/>
        <v>92555</v>
      </c>
      <c r="H6" s="296">
        <f t="shared" si="0"/>
        <v>19</v>
      </c>
      <c r="I6" s="296">
        <f t="shared" si="0"/>
        <v>4700</v>
      </c>
      <c r="J6" s="296">
        <f t="shared" si="0"/>
        <v>18</v>
      </c>
      <c r="K6" s="296">
        <f t="shared" si="0"/>
        <v>3100</v>
      </c>
      <c r="L6" s="296">
        <f t="shared" si="0"/>
        <v>4</v>
      </c>
      <c r="M6" s="296">
        <f t="shared" si="0"/>
        <v>600</v>
      </c>
      <c r="N6" s="296">
        <f t="shared" si="0"/>
        <v>0</v>
      </c>
      <c r="O6" s="296">
        <f t="shared" si="0"/>
        <v>0</v>
      </c>
      <c r="P6" s="296">
        <f t="shared" si="0"/>
        <v>9</v>
      </c>
      <c r="Q6" s="296">
        <f t="shared" si="0"/>
        <v>2350</v>
      </c>
      <c r="R6" s="296">
        <f t="shared" si="0"/>
        <v>22</v>
      </c>
      <c r="S6" s="296">
        <f t="shared" si="0"/>
        <v>307</v>
      </c>
      <c r="T6" s="296">
        <f t="shared" si="0"/>
        <v>133</v>
      </c>
      <c r="U6" s="296">
        <f t="shared" si="0"/>
        <v>1275</v>
      </c>
      <c r="V6" s="296">
        <f t="shared" si="0"/>
        <v>3</v>
      </c>
      <c r="W6" s="296">
        <f t="shared" si="0"/>
        <v>31</v>
      </c>
      <c r="X6" s="296">
        <f t="shared" si="0"/>
        <v>1</v>
      </c>
      <c r="Y6" s="287">
        <f t="shared" si="0"/>
        <v>200</v>
      </c>
    </row>
    <row r="7" spans="1:25" s="275" customFormat="1" ht="27" customHeight="1">
      <c r="A7" s="295" t="s">
        <v>218</v>
      </c>
      <c r="B7" s="294">
        <f>SUM(D7,F7,H7,J7,L7,N7,P7,R7,T7,V7,X7)</f>
        <v>5</v>
      </c>
      <c r="C7" s="293">
        <f>E7+G7+I7+K7+M7+O7+Q7+S7+U7+W7+Y7</f>
        <v>803</v>
      </c>
      <c r="D7" s="292">
        <v>2</v>
      </c>
      <c r="E7" s="291">
        <v>700</v>
      </c>
      <c r="F7" s="291">
        <v>0</v>
      </c>
      <c r="G7" s="291">
        <v>0</v>
      </c>
      <c r="H7" s="291">
        <v>0</v>
      </c>
      <c r="I7" s="291">
        <v>0</v>
      </c>
      <c r="J7" s="291">
        <v>0</v>
      </c>
      <c r="K7" s="291">
        <v>0</v>
      </c>
      <c r="L7" s="291">
        <v>0</v>
      </c>
      <c r="M7" s="291">
        <v>0</v>
      </c>
      <c r="N7" s="291">
        <v>0</v>
      </c>
      <c r="O7" s="291">
        <v>0</v>
      </c>
      <c r="P7" s="291">
        <v>0</v>
      </c>
      <c r="Q7" s="291">
        <v>0</v>
      </c>
      <c r="R7" s="291">
        <v>3</v>
      </c>
      <c r="S7" s="291">
        <v>103</v>
      </c>
      <c r="T7" s="291">
        <v>0</v>
      </c>
      <c r="U7" s="291">
        <v>0</v>
      </c>
      <c r="V7" s="291">
        <v>0</v>
      </c>
      <c r="W7" s="291">
        <v>0</v>
      </c>
      <c r="X7" s="291">
        <v>0</v>
      </c>
      <c r="Y7" s="290">
        <v>0</v>
      </c>
    </row>
    <row r="8" spans="1:25" s="275" customFormat="1" ht="27" customHeight="1">
      <c r="A8" s="295" t="s">
        <v>217</v>
      </c>
      <c r="B8" s="294">
        <f>SUM(D8,F8,H8,J8,L8,N8,P8,R8,T8,V8,X8)</f>
        <v>65</v>
      </c>
      <c r="C8" s="293">
        <f>E8+G8+I8+K8+M8+O8+Q8+S8+U8+W8+Y8</f>
        <v>47366</v>
      </c>
      <c r="D8" s="292">
        <v>43</v>
      </c>
      <c r="E8" s="291">
        <v>24425</v>
      </c>
      <c r="F8" s="291">
        <v>20</v>
      </c>
      <c r="G8" s="291">
        <v>22645</v>
      </c>
      <c r="H8" s="291">
        <v>0</v>
      </c>
      <c r="I8" s="291">
        <v>0</v>
      </c>
      <c r="J8" s="291">
        <v>0</v>
      </c>
      <c r="K8" s="291">
        <v>0</v>
      </c>
      <c r="L8" s="291">
        <v>0</v>
      </c>
      <c r="M8" s="291">
        <v>0</v>
      </c>
      <c r="N8" s="291">
        <v>0</v>
      </c>
      <c r="O8" s="291">
        <v>0</v>
      </c>
      <c r="P8" s="291">
        <v>0</v>
      </c>
      <c r="Q8" s="291">
        <v>0</v>
      </c>
      <c r="R8" s="291">
        <v>0</v>
      </c>
      <c r="S8" s="291">
        <v>0</v>
      </c>
      <c r="T8" s="291">
        <v>1</v>
      </c>
      <c r="U8" s="291">
        <v>96</v>
      </c>
      <c r="V8" s="291">
        <v>0</v>
      </c>
      <c r="W8" s="291">
        <v>0</v>
      </c>
      <c r="X8" s="291">
        <v>1</v>
      </c>
      <c r="Y8" s="290">
        <v>200</v>
      </c>
    </row>
    <row r="9" spans="1:25" s="275" customFormat="1" ht="27" customHeight="1" thickBot="1">
      <c r="A9" s="289" t="s">
        <v>229</v>
      </c>
      <c r="B9" s="288">
        <f>SUM(D9,F9,H9,J9,L9,N9,P9,R9,T9,V9,X9)</f>
        <v>1436</v>
      </c>
      <c r="C9" s="287">
        <f>E9+G9+I9+K9+M9+O9+Q9+S9+U9+W9+Y9</f>
        <v>155128</v>
      </c>
      <c r="D9" s="286">
        <v>589</v>
      </c>
      <c r="E9" s="285">
        <v>73054</v>
      </c>
      <c r="F9" s="285">
        <v>643</v>
      </c>
      <c r="G9" s="285">
        <v>69910</v>
      </c>
      <c r="H9" s="285">
        <v>19</v>
      </c>
      <c r="I9" s="285">
        <v>4700</v>
      </c>
      <c r="J9" s="285">
        <v>18</v>
      </c>
      <c r="K9" s="285">
        <v>3100</v>
      </c>
      <c r="L9" s="285">
        <v>4</v>
      </c>
      <c r="M9" s="285">
        <v>600</v>
      </c>
      <c r="N9" s="285">
        <v>0</v>
      </c>
      <c r="O9" s="285">
        <v>0</v>
      </c>
      <c r="P9" s="285">
        <v>9</v>
      </c>
      <c r="Q9" s="285">
        <v>2350</v>
      </c>
      <c r="R9" s="285">
        <v>19</v>
      </c>
      <c r="S9" s="285">
        <v>204</v>
      </c>
      <c r="T9" s="285">
        <v>132</v>
      </c>
      <c r="U9" s="285">
        <v>1179</v>
      </c>
      <c r="V9" s="285">
        <v>3</v>
      </c>
      <c r="W9" s="285">
        <v>31</v>
      </c>
      <c r="X9" s="285">
        <v>0</v>
      </c>
      <c r="Y9" s="284">
        <v>0</v>
      </c>
    </row>
    <row r="10" spans="1:25">
      <c r="B10" s="283"/>
      <c r="C10" s="275"/>
      <c r="D10" s="275"/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  <c r="V10" s="275"/>
      <c r="W10" s="275"/>
      <c r="X10" s="275"/>
      <c r="Y10" s="275"/>
    </row>
    <row r="11" spans="1:25" ht="11.25" thickBot="1"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5"/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</row>
    <row r="12" spans="1:25" ht="18" customHeight="1" thickBot="1">
      <c r="A12" s="412" t="s">
        <v>228</v>
      </c>
      <c r="B12" s="419" t="s">
        <v>227</v>
      </c>
      <c r="C12" s="420"/>
      <c r="D12" s="420"/>
      <c r="E12" s="420"/>
      <c r="F12" s="420"/>
      <c r="G12" s="420"/>
      <c r="H12" s="420"/>
      <c r="I12" s="420"/>
      <c r="J12" s="420"/>
      <c r="K12" s="421"/>
      <c r="L12" s="280"/>
      <c r="M12" s="280"/>
      <c r="N12" s="282"/>
      <c r="O12" s="275"/>
      <c r="P12" s="275"/>
      <c r="Q12" s="278"/>
      <c r="R12" s="275"/>
      <c r="S12" s="278"/>
      <c r="T12" s="275"/>
      <c r="U12" s="275"/>
      <c r="V12" s="275"/>
      <c r="W12" s="275"/>
      <c r="X12" s="275"/>
      <c r="Y12" s="275"/>
    </row>
    <row r="13" spans="1:25" ht="18" customHeight="1" thickBot="1">
      <c r="A13" s="418"/>
      <c r="B13" s="422" t="s">
        <v>226</v>
      </c>
      <c r="C13" s="423"/>
      <c r="D13" s="424" t="s">
        <v>225</v>
      </c>
      <c r="E13" s="423"/>
      <c r="F13" s="424" t="s">
        <v>224</v>
      </c>
      <c r="G13" s="423"/>
      <c r="H13" s="424" t="s">
        <v>223</v>
      </c>
      <c r="I13" s="423"/>
      <c r="J13" s="424" t="s">
        <v>222</v>
      </c>
      <c r="K13" s="425"/>
      <c r="L13" s="281"/>
      <c r="M13" s="280"/>
      <c r="N13" s="275"/>
      <c r="O13" s="275"/>
      <c r="P13" s="275"/>
      <c r="Q13" s="278"/>
      <c r="R13" s="275"/>
      <c r="S13" s="278"/>
      <c r="T13" s="275"/>
      <c r="U13" s="275"/>
      <c r="V13" s="275"/>
      <c r="W13" s="275"/>
      <c r="X13" s="275"/>
      <c r="Y13" s="275"/>
    </row>
    <row r="14" spans="1:25" ht="18" customHeight="1">
      <c r="A14" s="412" t="s">
        <v>221</v>
      </c>
      <c r="B14" s="414" t="s">
        <v>220</v>
      </c>
      <c r="C14" s="415"/>
      <c r="D14" s="410" t="s">
        <v>220</v>
      </c>
      <c r="E14" s="415"/>
      <c r="F14" s="410" t="s">
        <v>220</v>
      </c>
      <c r="G14" s="415"/>
      <c r="H14" s="410" t="s">
        <v>220</v>
      </c>
      <c r="I14" s="415"/>
      <c r="J14" s="410" t="s">
        <v>219</v>
      </c>
      <c r="K14" s="411"/>
      <c r="L14" s="403"/>
      <c r="M14" s="404"/>
      <c r="N14" s="275"/>
      <c r="O14" s="279"/>
      <c r="P14" s="275"/>
      <c r="Q14" s="275"/>
      <c r="R14" s="275"/>
      <c r="S14" s="278"/>
      <c r="T14" s="275"/>
      <c r="U14" s="275"/>
      <c r="V14" s="275"/>
      <c r="W14" s="275"/>
      <c r="X14" s="275"/>
      <c r="Y14" s="275"/>
    </row>
    <row r="15" spans="1:25" ht="27" customHeight="1" thickBot="1">
      <c r="A15" s="413"/>
      <c r="B15" s="405">
        <f>SUM(B16:C18)</f>
        <v>517</v>
      </c>
      <c r="C15" s="406"/>
      <c r="D15" s="407">
        <f>SUM(D16:E18)</f>
        <v>240</v>
      </c>
      <c r="E15" s="406"/>
      <c r="F15" s="407">
        <f>SUM(F17:G18)</f>
        <v>222</v>
      </c>
      <c r="G15" s="406"/>
      <c r="H15" s="407">
        <f>SUM(H17:I18)</f>
        <v>102</v>
      </c>
      <c r="I15" s="406"/>
      <c r="J15" s="407">
        <f>SUM(J17:K18)</f>
        <v>78</v>
      </c>
      <c r="K15" s="408"/>
      <c r="L15" s="409"/>
      <c r="M15" s="404"/>
      <c r="N15" s="275"/>
      <c r="O15" s="275"/>
      <c r="P15" s="275"/>
      <c r="Q15" s="278"/>
      <c r="R15" s="275"/>
      <c r="S15" s="278"/>
      <c r="T15" s="275"/>
      <c r="U15" s="275"/>
      <c r="V15" s="275"/>
      <c r="W15" s="275"/>
      <c r="X15" s="275"/>
      <c r="Y15" s="275"/>
    </row>
    <row r="16" spans="1:25" ht="27" customHeight="1">
      <c r="A16" s="277" t="s">
        <v>218</v>
      </c>
      <c r="B16" s="395">
        <v>1</v>
      </c>
      <c r="C16" s="396"/>
      <c r="D16" s="397">
        <v>4</v>
      </c>
      <c r="E16" s="396"/>
      <c r="F16" s="397">
        <v>0</v>
      </c>
      <c r="G16" s="396"/>
      <c r="H16" s="397">
        <v>0</v>
      </c>
      <c r="I16" s="396"/>
      <c r="J16" s="397">
        <v>0</v>
      </c>
      <c r="K16" s="398"/>
      <c r="L16" s="393"/>
      <c r="M16" s="394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</row>
    <row r="17" spans="1:25" ht="27" customHeight="1">
      <c r="A17" s="277" t="s">
        <v>217</v>
      </c>
      <c r="B17" s="395">
        <v>273</v>
      </c>
      <c r="C17" s="396"/>
      <c r="D17" s="397">
        <v>87</v>
      </c>
      <c r="E17" s="396"/>
      <c r="F17" s="397">
        <v>60</v>
      </c>
      <c r="G17" s="396"/>
      <c r="H17" s="397">
        <v>58</v>
      </c>
      <c r="I17" s="396"/>
      <c r="J17" s="397">
        <v>68</v>
      </c>
      <c r="K17" s="398"/>
      <c r="L17" s="393"/>
      <c r="M17" s="394"/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5"/>
      <c r="Y17" s="275"/>
    </row>
    <row r="18" spans="1:25" ht="27" customHeight="1" thickBot="1">
      <c r="A18" s="276" t="s">
        <v>216</v>
      </c>
      <c r="B18" s="399">
        <v>243</v>
      </c>
      <c r="C18" s="400"/>
      <c r="D18" s="401">
        <v>149</v>
      </c>
      <c r="E18" s="400"/>
      <c r="F18" s="401">
        <v>162</v>
      </c>
      <c r="G18" s="400"/>
      <c r="H18" s="401">
        <v>44</v>
      </c>
      <c r="I18" s="400"/>
      <c r="J18" s="401">
        <v>10</v>
      </c>
      <c r="K18" s="402"/>
      <c r="L18" s="393"/>
      <c r="M18" s="394"/>
      <c r="N18" s="275"/>
      <c r="O18" s="275"/>
      <c r="P18" s="275"/>
      <c r="Q18" s="275"/>
      <c r="R18" s="275"/>
      <c r="S18" s="275"/>
      <c r="T18" s="275"/>
      <c r="U18" s="275"/>
      <c r="V18" s="275"/>
      <c r="W18" s="275"/>
      <c r="X18" s="275"/>
      <c r="Y18" s="275"/>
    </row>
    <row r="19" spans="1:25">
      <c r="C19" s="274"/>
      <c r="E19" s="274"/>
      <c r="G19" s="274"/>
      <c r="I19" s="274"/>
      <c r="K19" s="274"/>
    </row>
  </sheetData>
  <mergeCells count="55">
    <mergeCell ref="A1:V1"/>
    <mergeCell ref="A3:A4"/>
    <mergeCell ref="B3:C4"/>
    <mergeCell ref="D3:O3"/>
    <mergeCell ref="P3:Q4"/>
    <mergeCell ref="R3:W3"/>
    <mergeCell ref="X3:Y4"/>
    <mergeCell ref="D4:E4"/>
    <mergeCell ref="F4:G4"/>
    <mergeCell ref="H4:I4"/>
    <mergeCell ref="J4:K4"/>
    <mergeCell ref="L4:M4"/>
    <mergeCell ref="N4:O4"/>
    <mergeCell ref="R4:S4"/>
    <mergeCell ref="T4:U4"/>
    <mergeCell ref="V4:W4"/>
    <mergeCell ref="A5:A6"/>
    <mergeCell ref="A12:A13"/>
    <mergeCell ref="B12:K12"/>
    <mergeCell ref="B13:C13"/>
    <mergeCell ref="D13:E13"/>
    <mergeCell ref="F13:G13"/>
    <mergeCell ref="H13:I13"/>
    <mergeCell ref="J13:K13"/>
    <mergeCell ref="A14:A15"/>
    <mergeCell ref="B14:C14"/>
    <mergeCell ref="D14:E14"/>
    <mergeCell ref="F14:G14"/>
    <mergeCell ref="H14:I14"/>
    <mergeCell ref="L16:M16"/>
    <mergeCell ref="L14:M14"/>
    <mergeCell ref="B15:C15"/>
    <mergeCell ref="D15:E15"/>
    <mergeCell ref="F15:G15"/>
    <mergeCell ref="H15:I15"/>
    <mergeCell ref="J15:K15"/>
    <mergeCell ref="L15:M15"/>
    <mergeCell ref="J14:K14"/>
    <mergeCell ref="B16:C16"/>
    <mergeCell ref="D16:E16"/>
    <mergeCell ref="F16:G16"/>
    <mergeCell ref="H16:I16"/>
    <mergeCell ref="J16:K16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</mergeCells>
  <phoneticPr fontId="1"/>
  <pageMargins left="0.86614173228346458" right="0.59055118110236227" top="0.98425196850393704" bottom="0.98425196850393704" header="0.51181102362204722" footer="0.51181102362204722"/>
  <pageSetup paperSize="9" scale="98" orientation="landscape" cellComments="asDisplayed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view="pageBreakPreview" zoomScale="115" zoomScaleNormal="120" zoomScaleSheetLayoutView="100" workbookViewId="0">
      <selection activeCell="O10" sqref="O10"/>
    </sheetView>
  </sheetViews>
  <sheetFormatPr defaultRowHeight="10.5"/>
  <cols>
    <col min="1" max="1" width="7.125" style="275" customWidth="1"/>
    <col min="2" max="2" width="4.625" style="275" customWidth="1"/>
    <col min="3" max="3" width="7" style="275" customWidth="1"/>
    <col min="4" max="4" width="4" style="275" customWidth="1"/>
    <col min="5" max="5" width="7" style="275" customWidth="1"/>
    <col min="6" max="6" width="4" style="275" customWidth="1"/>
    <col min="7" max="7" width="7" style="275" customWidth="1"/>
    <col min="8" max="8" width="4" style="275" customWidth="1"/>
    <col min="9" max="9" width="7" style="275" customWidth="1"/>
    <col min="10" max="10" width="4" style="275" customWidth="1"/>
    <col min="11" max="11" width="7" style="275" customWidth="1"/>
    <col min="12" max="12" width="4" style="275" customWidth="1"/>
    <col min="13" max="13" width="7" style="275" customWidth="1"/>
    <col min="14" max="14" width="4" style="275" customWidth="1"/>
    <col min="15" max="15" width="7" style="275" customWidth="1"/>
    <col min="16" max="16" width="4" style="275" customWidth="1"/>
    <col min="17" max="17" width="7" style="275" customWidth="1"/>
    <col min="18" max="18" width="4" style="275" customWidth="1"/>
    <col min="19" max="19" width="7" style="275" customWidth="1"/>
    <col min="20" max="20" width="4" style="275" customWidth="1"/>
    <col min="21" max="21" width="7" style="275" customWidth="1"/>
    <col min="22" max="16384" width="9" style="275"/>
  </cols>
  <sheetData>
    <row r="1" spans="1:21" ht="21" customHeight="1" thickBot="1">
      <c r="A1" s="319" t="s">
        <v>265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</row>
    <row r="2" spans="1:21" ht="21.75" customHeight="1" thickBot="1">
      <c r="A2" s="436" t="s">
        <v>228</v>
      </c>
      <c r="B2" s="438" t="s">
        <v>264</v>
      </c>
      <c r="C2" s="439"/>
      <c r="D2" s="442" t="s">
        <v>263</v>
      </c>
      <c r="E2" s="443"/>
      <c r="F2" s="446" t="s">
        <v>262</v>
      </c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8"/>
      <c r="U2" s="449"/>
    </row>
    <row r="3" spans="1:21" s="279" customFormat="1" ht="28.5" customHeight="1" thickBot="1">
      <c r="A3" s="437"/>
      <c r="B3" s="440"/>
      <c r="C3" s="441"/>
      <c r="D3" s="444"/>
      <c r="E3" s="445"/>
      <c r="F3" s="450" t="s">
        <v>261</v>
      </c>
      <c r="G3" s="451"/>
      <c r="H3" s="452" t="s">
        <v>260</v>
      </c>
      <c r="I3" s="451"/>
      <c r="J3" s="453" t="s">
        <v>259</v>
      </c>
      <c r="K3" s="454"/>
      <c r="L3" s="455" t="s">
        <v>258</v>
      </c>
      <c r="M3" s="456"/>
      <c r="N3" s="455" t="s">
        <v>257</v>
      </c>
      <c r="O3" s="455"/>
      <c r="P3" s="455" t="s">
        <v>256</v>
      </c>
      <c r="Q3" s="455"/>
      <c r="R3" s="457" t="s">
        <v>255</v>
      </c>
      <c r="S3" s="456"/>
      <c r="T3" s="458" t="s">
        <v>254</v>
      </c>
      <c r="U3" s="459"/>
    </row>
    <row r="4" spans="1:21" ht="15.75" customHeight="1" thickBot="1">
      <c r="A4" s="436" t="s">
        <v>221</v>
      </c>
      <c r="B4" s="317" t="s">
        <v>253</v>
      </c>
      <c r="C4" s="316" t="s">
        <v>252</v>
      </c>
      <c r="D4" s="317" t="s">
        <v>253</v>
      </c>
      <c r="E4" s="316" t="s">
        <v>252</v>
      </c>
      <c r="F4" s="315" t="s">
        <v>253</v>
      </c>
      <c r="G4" s="313" t="s">
        <v>252</v>
      </c>
      <c r="H4" s="313" t="s">
        <v>253</v>
      </c>
      <c r="I4" s="313" t="s">
        <v>252</v>
      </c>
      <c r="J4" s="313" t="s">
        <v>253</v>
      </c>
      <c r="K4" s="313" t="s">
        <v>252</v>
      </c>
      <c r="L4" s="313" t="s">
        <v>253</v>
      </c>
      <c r="M4" s="313" t="s">
        <v>252</v>
      </c>
      <c r="N4" s="313" t="s">
        <v>253</v>
      </c>
      <c r="O4" s="313" t="s">
        <v>252</v>
      </c>
      <c r="P4" s="313" t="s">
        <v>253</v>
      </c>
      <c r="Q4" s="313" t="s">
        <v>252</v>
      </c>
      <c r="R4" s="313" t="s">
        <v>253</v>
      </c>
      <c r="S4" s="314" t="s">
        <v>252</v>
      </c>
      <c r="T4" s="313" t="s">
        <v>253</v>
      </c>
      <c r="U4" s="312" t="s">
        <v>252</v>
      </c>
    </row>
    <row r="5" spans="1:21" ht="28.5" customHeight="1" thickBot="1">
      <c r="A5" s="436"/>
      <c r="B5" s="288">
        <f t="shared" ref="B5:U5" si="0">SUM(B6:B8)</f>
        <v>13</v>
      </c>
      <c r="C5" s="287">
        <f t="shared" si="0"/>
        <v>25700</v>
      </c>
      <c r="D5" s="288">
        <f t="shared" si="0"/>
        <v>6</v>
      </c>
      <c r="E5" s="287">
        <f t="shared" si="0"/>
        <v>5600</v>
      </c>
      <c r="F5" s="297">
        <f t="shared" si="0"/>
        <v>0</v>
      </c>
      <c r="G5" s="297">
        <f t="shared" si="0"/>
        <v>0</v>
      </c>
      <c r="H5" s="297">
        <f t="shared" si="0"/>
        <v>0</v>
      </c>
      <c r="I5" s="297">
        <f t="shared" si="0"/>
        <v>0</v>
      </c>
      <c r="J5" s="297">
        <f t="shared" si="0"/>
        <v>1</v>
      </c>
      <c r="K5" s="297">
        <f t="shared" si="0"/>
        <v>900</v>
      </c>
      <c r="L5" s="297">
        <f t="shared" si="0"/>
        <v>1</v>
      </c>
      <c r="M5" s="297">
        <f t="shared" si="0"/>
        <v>2100</v>
      </c>
      <c r="N5" s="297">
        <f t="shared" si="0"/>
        <v>1</v>
      </c>
      <c r="O5" s="297">
        <f t="shared" si="0"/>
        <v>700</v>
      </c>
      <c r="P5" s="297">
        <f t="shared" si="0"/>
        <v>2</v>
      </c>
      <c r="Q5" s="297">
        <f t="shared" si="0"/>
        <v>11000</v>
      </c>
      <c r="R5" s="297">
        <f t="shared" si="0"/>
        <v>2</v>
      </c>
      <c r="S5" s="297">
        <f t="shared" si="0"/>
        <v>5400</v>
      </c>
      <c r="T5" s="297">
        <f t="shared" si="0"/>
        <v>0</v>
      </c>
      <c r="U5" s="287">
        <f t="shared" si="0"/>
        <v>0</v>
      </c>
    </row>
    <row r="6" spans="1:21" ht="27" customHeight="1">
      <c r="A6" s="311" t="s">
        <v>251</v>
      </c>
      <c r="B6" s="294">
        <f>SUM(D6,F6,H6,J6,L6,N6,P6,R6,T6)</f>
        <v>5</v>
      </c>
      <c r="C6" s="293">
        <f>+E6+G6+I6+K6+M6+S6+O6+Q6+U6</f>
        <v>14800</v>
      </c>
      <c r="D6" s="309">
        <v>1</v>
      </c>
      <c r="E6" s="290">
        <v>1000</v>
      </c>
      <c r="F6" s="292">
        <v>0</v>
      </c>
      <c r="G6" s="291">
        <v>0</v>
      </c>
      <c r="H6" s="291">
        <v>0</v>
      </c>
      <c r="I6" s="291">
        <v>0</v>
      </c>
      <c r="J6" s="291">
        <v>0</v>
      </c>
      <c r="K6" s="291">
        <v>0</v>
      </c>
      <c r="L6" s="291">
        <v>1</v>
      </c>
      <c r="M6" s="291">
        <v>2100</v>
      </c>
      <c r="N6" s="291">
        <v>1</v>
      </c>
      <c r="O6" s="291">
        <v>700</v>
      </c>
      <c r="P6" s="291">
        <v>2</v>
      </c>
      <c r="Q6" s="291">
        <f>1800+9200</f>
        <v>11000</v>
      </c>
      <c r="R6" s="291">
        <v>0</v>
      </c>
      <c r="S6" s="291">
        <v>0</v>
      </c>
      <c r="T6" s="291">
        <v>0</v>
      </c>
      <c r="U6" s="290">
        <v>0</v>
      </c>
    </row>
    <row r="7" spans="1:21" ht="27" customHeight="1">
      <c r="A7" s="310" t="s">
        <v>250</v>
      </c>
      <c r="B7" s="294">
        <f>SUM(D7,F7,H7,J7,L7,N7,P7,R7,T7)</f>
        <v>8</v>
      </c>
      <c r="C7" s="293">
        <f>+E7+G7+I7+K7+M7+S7+O7+Q7+U7</f>
        <v>10900</v>
      </c>
      <c r="D7" s="309">
        <v>5</v>
      </c>
      <c r="E7" s="290">
        <f>1600+1100+1100+800</f>
        <v>4600</v>
      </c>
      <c r="F7" s="292">
        <v>0</v>
      </c>
      <c r="G7" s="292">
        <v>0</v>
      </c>
      <c r="H7" s="291">
        <v>0</v>
      </c>
      <c r="I7" s="292">
        <v>0</v>
      </c>
      <c r="J7" s="291">
        <v>1</v>
      </c>
      <c r="K7" s="291">
        <v>900</v>
      </c>
      <c r="L7" s="291">
        <v>0</v>
      </c>
      <c r="M7" s="292">
        <v>0</v>
      </c>
      <c r="N7" s="291">
        <v>0</v>
      </c>
      <c r="O7" s="292">
        <v>0</v>
      </c>
      <c r="P7" s="291">
        <v>0</v>
      </c>
      <c r="Q7" s="292">
        <v>0</v>
      </c>
      <c r="R7" s="291">
        <v>2</v>
      </c>
      <c r="S7" s="308">
        <f>2200+3200</f>
        <v>5400</v>
      </c>
      <c r="T7" s="291" t="s">
        <v>249</v>
      </c>
      <c r="U7" s="290">
        <v>0</v>
      </c>
    </row>
    <row r="8" spans="1:21" ht="27" customHeight="1" thickBot="1">
      <c r="A8" s="307" t="s">
        <v>248</v>
      </c>
      <c r="B8" s="288">
        <f>SUM(D8,F8,H8,J8,L8,N8,P8,R8,T8)</f>
        <v>0</v>
      </c>
      <c r="C8" s="287">
        <f>+E8+G8+I8+K8+M8+S8+O8+Q8+U8</f>
        <v>0</v>
      </c>
      <c r="D8" s="286">
        <v>0</v>
      </c>
      <c r="E8" s="284">
        <v>0</v>
      </c>
      <c r="F8" s="286">
        <v>0</v>
      </c>
      <c r="G8" s="286">
        <v>0</v>
      </c>
      <c r="H8" s="286">
        <v>0</v>
      </c>
      <c r="I8" s="286">
        <v>0</v>
      </c>
      <c r="J8" s="286">
        <v>0</v>
      </c>
      <c r="K8" s="286">
        <v>0</v>
      </c>
      <c r="L8" s="286">
        <v>0</v>
      </c>
      <c r="M8" s="286">
        <v>0</v>
      </c>
      <c r="N8" s="286">
        <v>0</v>
      </c>
      <c r="O8" s="286">
        <v>0</v>
      </c>
      <c r="P8" s="286">
        <v>0</v>
      </c>
      <c r="Q8" s="286">
        <v>0</v>
      </c>
      <c r="R8" s="286">
        <v>0</v>
      </c>
      <c r="S8" s="286">
        <v>0</v>
      </c>
      <c r="T8" s="286">
        <v>0</v>
      </c>
      <c r="U8" s="284">
        <v>0</v>
      </c>
    </row>
    <row r="11" spans="1:21">
      <c r="B11" s="306"/>
      <c r="C11" s="306"/>
    </row>
    <row r="12" spans="1:21">
      <c r="B12" s="306"/>
      <c r="C12" s="306"/>
    </row>
    <row r="13" spans="1:21">
      <c r="B13" s="306"/>
      <c r="C13" s="306"/>
    </row>
    <row r="14" spans="1:21">
      <c r="B14" s="306"/>
      <c r="C14" s="306"/>
    </row>
    <row r="15" spans="1:21">
      <c r="B15" s="306"/>
      <c r="C15" s="306"/>
    </row>
    <row r="16" spans="1:21">
      <c r="B16" s="306"/>
      <c r="C16" s="306"/>
    </row>
  </sheetData>
  <mergeCells count="13">
    <mergeCell ref="A4:A5"/>
    <mergeCell ref="A2:A3"/>
    <mergeCell ref="B2:C3"/>
    <mergeCell ref="D2:E3"/>
    <mergeCell ref="F2:U2"/>
    <mergeCell ref="F3:G3"/>
    <mergeCell ref="H3:I3"/>
    <mergeCell ref="J3:K3"/>
    <mergeCell ref="L3:M3"/>
    <mergeCell ref="N3:O3"/>
    <mergeCell ref="P3:Q3"/>
    <mergeCell ref="R3:S3"/>
    <mergeCell ref="T3:U3"/>
  </mergeCells>
  <phoneticPr fontId="1"/>
  <pageMargins left="0.98425196850393704" right="0.78740157480314965" top="0.82677165354330717" bottom="0.98425196850393704" header="0.51181102362204722" footer="0.51181102362204722"/>
  <pageSetup paperSize="9" scale="91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総-水路通報件数p58</vt:lpstr>
      <vt:lpstr>1 水路通報実施P59-61</vt:lpstr>
      <vt:lpstr>1 水路通報実施P62-68</vt:lpstr>
      <vt:lpstr>1 水路通報実施P69-72</vt:lpstr>
      <vt:lpstr>2(1)海図等P73</vt:lpstr>
      <vt:lpstr>2(2)書誌P74</vt:lpstr>
      <vt:lpstr>'1 水路通報実施P59-61'!Print_Area</vt:lpstr>
      <vt:lpstr>'1 水路通報実施P62-68'!Print_Area</vt:lpstr>
      <vt:lpstr>'1 水路通報実施P69-72'!Print_Area</vt:lpstr>
      <vt:lpstr>'2(1)海図等P73'!Print_Area</vt:lpstr>
      <vt:lpstr>'2(2)書誌P74'!Print_Area</vt:lpstr>
      <vt:lpstr>'総-水路通報件数p58'!Print_Area</vt:lpstr>
    </vt:vector>
  </TitlesOfParts>
  <Company>海上保安庁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海上保安庁</dc:creator>
  <cp:lastModifiedBy>JCG User</cp:lastModifiedBy>
  <cp:lastPrinted>2018-02-13T07:57:58Z</cp:lastPrinted>
  <dcterms:created xsi:type="dcterms:W3CDTF">2001-08-21T07:44:37Z</dcterms:created>
  <dcterms:modified xsi:type="dcterms:W3CDTF">2019-08-05T06:24:43Z</dcterms:modified>
</cp:coreProperties>
</file>