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\\jscpfs01\01海上保安庁\005交通部\00512交通管理室\【機2完1可1】運用係\【機2完1可1】ト_統計\02 海交法、港則法統計\令和1年版\令和1年統計年報\集計\"/>
    </mc:Choice>
  </mc:AlternateContent>
  <bookViews>
    <workbookView xWindow="0" yWindow="0" windowWidth="19200" windowHeight="12195" tabRatio="852"/>
  </bookViews>
  <sheets>
    <sheet name="管制船舶通航状況比較表P53" sheetId="7" r:id="rId1"/>
    <sheet name="管制業務統計P54" sheetId="6" r:id="rId2"/>
    <sheet name="管制業務統計 P55" sheetId="9" r:id="rId3"/>
  </sheets>
  <definedNames>
    <definedName name="_xlnm.Print_Area" localSheetId="2">'管制業務統計 P55'!$A$1:$S$14</definedName>
    <definedName name="_xlnm.Print_Area" localSheetId="1">管制業務統計P54!$A$1:$AB$18</definedName>
    <definedName name="_xlnm.Print_Area" localSheetId="0">管制船舶通航状況比較表P53!$A$1:$L$46</definedName>
  </definedNames>
  <calcPr calcId="162913"/>
</workbook>
</file>

<file path=xl/calcChain.xml><?xml version="1.0" encoding="utf-8"?>
<calcChain xmlns="http://schemas.openxmlformats.org/spreadsheetml/2006/main">
  <c r="AA10" i="6" l="1"/>
  <c r="AB10" i="6"/>
  <c r="I9" i="9"/>
  <c r="H9" i="9"/>
  <c r="G9" i="9"/>
  <c r="F9" i="9"/>
  <c r="E9" i="9"/>
  <c r="D9" i="9"/>
  <c r="J8" i="6" l="1"/>
  <c r="I8" i="6"/>
  <c r="J7" i="6"/>
  <c r="I7" i="6"/>
  <c r="M8" i="6"/>
  <c r="L8" i="6"/>
  <c r="M7" i="6"/>
  <c r="L7" i="6"/>
  <c r="S7" i="6"/>
  <c r="R7" i="6"/>
  <c r="V7" i="6"/>
  <c r="U7" i="6"/>
  <c r="Y7" i="6"/>
  <c r="X7" i="6"/>
  <c r="AA7" i="6"/>
  <c r="M17" i="6"/>
  <c r="L17" i="6"/>
  <c r="J17" i="6"/>
  <c r="AB17" i="6"/>
  <c r="AA17" i="6"/>
  <c r="M16" i="6" l="1"/>
  <c r="L16" i="6"/>
  <c r="J16" i="6"/>
  <c r="I16" i="6"/>
  <c r="M15" i="6"/>
  <c r="L15" i="6"/>
  <c r="J15" i="6"/>
  <c r="I15" i="6"/>
  <c r="M14" i="6"/>
  <c r="L14" i="6"/>
  <c r="J14" i="6"/>
  <c r="I14" i="6"/>
  <c r="J11" i="6"/>
  <c r="I11" i="6"/>
  <c r="M11" i="6"/>
  <c r="L11" i="6"/>
  <c r="C12" i="9" l="1"/>
  <c r="C6" i="9" l="1"/>
  <c r="C10" i="9"/>
  <c r="F12" i="6"/>
  <c r="G12" i="6"/>
  <c r="E12" i="6" s="1"/>
  <c r="F13" i="6"/>
  <c r="G13" i="6"/>
  <c r="F14" i="6"/>
  <c r="G14" i="6"/>
  <c r="F15" i="6"/>
  <c r="G15" i="6"/>
  <c r="F16" i="6"/>
  <c r="G16" i="6"/>
  <c r="F17" i="6"/>
  <c r="G17" i="6"/>
  <c r="C9" i="9"/>
  <c r="C7" i="9"/>
  <c r="C8" i="9"/>
  <c r="G7" i="6"/>
  <c r="I6" i="6"/>
  <c r="P8" i="6"/>
  <c r="P9" i="6"/>
  <c r="P10" i="6"/>
  <c r="P11" i="6"/>
  <c r="P12" i="6"/>
  <c r="P13" i="6"/>
  <c r="P14" i="6"/>
  <c r="P15" i="6"/>
  <c r="P16" i="6"/>
  <c r="P17" i="6"/>
  <c r="P7" i="6"/>
  <c r="O8" i="6"/>
  <c r="O9" i="6"/>
  <c r="O10" i="6"/>
  <c r="O11" i="6"/>
  <c r="O12" i="6"/>
  <c r="C12" i="6" s="1"/>
  <c r="O13" i="6"/>
  <c r="C13" i="6" s="1"/>
  <c r="O14" i="6"/>
  <c r="O15" i="6"/>
  <c r="N15" i="6"/>
  <c r="O16" i="6"/>
  <c r="C16" i="6" s="1"/>
  <c r="O17" i="6"/>
  <c r="N17" i="6" s="1"/>
  <c r="O7" i="6"/>
  <c r="F9" i="6"/>
  <c r="AB6" i="6"/>
  <c r="AA6" i="6"/>
  <c r="Y6" i="6"/>
  <c r="X6" i="6"/>
  <c r="V6" i="6"/>
  <c r="U6" i="6"/>
  <c r="S6" i="6"/>
  <c r="R6" i="6"/>
  <c r="L6" i="6"/>
  <c r="J6" i="6"/>
  <c r="K12" i="6"/>
  <c r="J6" i="9"/>
  <c r="K15" i="6"/>
  <c r="T11" i="6"/>
  <c r="Z8" i="6"/>
  <c r="Z9" i="6"/>
  <c r="Z10" i="6"/>
  <c r="Z11" i="6"/>
  <c r="Z12" i="6"/>
  <c r="Z13" i="6"/>
  <c r="Z14" i="6"/>
  <c r="Z15" i="6"/>
  <c r="Z16" i="6"/>
  <c r="Z17" i="6"/>
  <c r="Z7" i="6"/>
  <c r="W8" i="6"/>
  <c r="W9" i="6"/>
  <c r="W10" i="6"/>
  <c r="W11" i="6"/>
  <c r="W12" i="6"/>
  <c r="W13" i="6"/>
  <c r="W14" i="6"/>
  <c r="W15" i="6"/>
  <c r="W16" i="6"/>
  <c r="W17" i="6"/>
  <c r="W7" i="6"/>
  <c r="T8" i="6"/>
  <c r="T9" i="6"/>
  <c r="T10" i="6"/>
  <c r="T12" i="6"/>
  <c r="T13" i="6"/>
  <c r="T14" i="6"/>
  <c r="T15" i="6"/>
  <c r="T16" i="6"/>
  <c r="T17" i="6"/>
  <c r="T7" i="6"/>
  <c r="Q8" i="6"/>
  <c r="Q9" i="6"/>
  <c r="Q10" i="6"/>
  <c r="Q11" i="6"/>
  <c r="Q12" i="6"/>
  <c r="Q13" i="6"/>
  <c r="Q14" i="6"/>
  <c r="Q15" i="6"/>
  <c r="Q16" i="6"/>
  <c r="Q17" i="6"/>
  <c r="Q7" i="6"/>
  <c r="K8" i="6"/>
  <c r="K10" i="6"/>
  <c r="K11" i="6"/>
  <c r="K13" i="6"/>
  <c r="K14" i="6"/>
  <c r="K16" i="6"/>
  <c r="K17" i="6"/>
  <c r="H9" i="6"/>
  <c r="H10" i="6"/>
  <c r="H11" i="6"/>
  <c r="H12" i="6"/>
  <c r="H13" i="6"/>
  <c r="H14" i="6"/>
  <c r="H15" i="6"/>
  <c r="H16" i="6"/>
  <c r="H17" i="6"/>
  <c r="H7" i="6"/>
  <c r="G8" i="6"/>
  <c r="G9" i="6"/>
  <c r="D9" i="6" s="1"/>
  <c r="G10" i="6"/>
  <c r="G11" i="6"/>
  <c r="F10" i="6"/>
  <c r="C10" i="6" s="1"/>
  <c r="F11" i="6"/>
  <c r="E11" i="6" s="1"/>
  <c r="F7" i="6"/>
  <c r="C7" i="6" s="1"/>
  <c r="O11" i="9"/>
  <c r="J12" i="9"/>
  <c r="J8" i="9"/>
  <c r="J9" i="9"/>
  <c r="J10" i="9"/>
  <c r="J11" i="9"/>
  <c r="J7" i="9"/>
  <c r="C11" i="9"/>
  <c r="O8" i="9"/>
  <c r="O9" i="9"/>
  <c r="O10" i="9"/>
  <c r="O12" i="9"/>
  <c r="O7" i="9"/>
  <c r="O6" i="9"/>
  <c r="K9" i="6"/>
  <c r="C17" i="6"/>
  <c r="E10" i="6" l="1"/>
  <c r="N8" i="6"/>
  <c r="D8" i="6"/>
  <c r="E14" i="6"/>
  <c r="C11" i="6"/>
  <c r="D16" i="6"/>
  <c r="D11" i="6"/>
  <c r="D14" i="6"/>
  <c r="C14" i="6"/>
  <c r="N16" i="6"/>
  <c r="Q6" i="6"/>
  <c r="T6" i="6"/>
  <c r="N11" i="6"/>
  <c r="B11" i="6" s="1"/>
  <c r="E9" i="7" s="1"/>
  <c r="K9" i="7" s="1"/>
  <c r="W6" i="6"/>
  <c r="N9" i="6"/>
  <c r="Z6" i="6"/>
  <c r="N14" i="6"/>
  <c r="N10" i="6"/>
  <c r="D17" i="6"/>
  <c r="D13" i="6"/>
  <c r="D10" i="6"/>
  <c r="D15" i="6"/>
  <c r="O6" i="6"/>
  <c r="N12" i="6"/>
  <c r="B12" i="6" s="1"/>
  <c r="E10" i="7" s="1"/>
  <c r="K10" i="7" s="1"/>
  <c r="B10" i="6"/>
  <c r="E8" i="7" s="1"/>
  <c r="K8" i="7" s="1"/>
  <c r="E15" i="6"/>
  <c r="B15" i="6" s="1"/>
  <c r="E13" i="7" s="1"/>
  <c r="K13" i="7" s="1"/>
  <c r="E17" i="6"/>
  <c r="B17" i="6" s="1"/>
  <c r="E15" i="7" s="1"/>
  <c r="K15" i="7" s="1"/>
  <c r="E16" i="6"/>
  <c r="B16" i="6" s="1"/>
  <c r="E14" i="7" s="1"/>
  <c r="K14" i="7" s="1"/>
  <c r="B14" i="6"/>
  <c r="E12" i="7" s="1"/>
  <c r="K12" i="7" s="1"/>
  <c r="E7" i="6"/>
  <c r="D7" i="6"/>
  <c r="G6" i="6"/>
  <c r="E9" i="6"/>
  <c r="B9" i="6" s="1"/>
  <c r="E7" i="7" s="1"/>
  <c r="K7" i="7" s="1"/>
  <c r="C9" i="6"/>
  <c r="E13" i="6"/>
  <c r="P6" i="6"/>
  <c r="N13" i="6"/>
  <c r="D12" i="6"/>
  <c r="H8" i="6"/>
  <c r="H6" i="6" s="1"/>
  <c r="N7" i="6"/>
  <c r="F8" i="6"/>
  <c r="K7" i="6"/>
  <c r="K6" i="6" s="1"/>
  <c r="M6" i="6"/>
  <c r="C15" i="6"/>
  <c r="D6" i="6" l="1"/>
  <c r="C8" i="6"/>
  <c r="F6" i="6"/>
  <c r="C6" i="6" s="1"/>
  <c r="E8" i="6"/>
  <c r="B8" i="6" s="1"/>
  <c r="E6" i="7" s="1"/>
  <c r="K6" i="7" s="1"/>
  <c r="N6" i="6"/>
  <c r="B13" i="6"/>
  <c r="E11" i="7" s="1"/>
  <c r="K11" i="7" s="1"/>
  <c r="B7" i="6"/>
  <c r="E5" i="7" s="1"/>
  <c r="K5" i="7" l="1"/>
  <c r="E4" i="7"/>
  <c r="K4" i="7" s="1"/>
  <c r="E6" i="6"/>
  <c r="B6" i="6" s="1"/>
</calcChain>
</file>

<file path=xl/sharedStrings.xml><?xml version="1.0" encoding="utf-8"?>
<sst xmlns="http://schemas.openxmlformats.org/spreadsheetml/2006/main" count="102" uniqueCount="73">
  <si>
    <t>計</t>
    <rPh sb="0" eb="1">
      <t>ケイ</t>
    </rPh>
    <phoneticPr fontId="2"/>
  </si>
  <si>
    <t>交通方法遵守</t>
    <rPh sb="0" eb="2">
      <t>コウツウ</t>
    </rPh>
    <rPh sb="2" eb="4">
      <t>ホウホウ</t>
    </rPh>
    <rPh sb="4" eb="6">
      <t>ジュンシュ</t>
    </rPh>
    <phoneticPr fontId="2"/>
  </si>
  <si>
    <t>困難な海域への接近回避</t>
    <rPh sb="0" eb="2">
      <t>コンナン</t>
    </rPh>
    <rPh sb="3" eb="5">
      <t>カイイキ</t>
    </rPh>
    <rPh sb="7" eb="9">
      <t>セッキン</t>
    </rPh>
    <rPh sb="9" eb="11">
      <t>カイヒ</t>
    </rPh>
    <phoneticPr fontId="2"/>
  </si>
  <si>
    <t>特定船舶との接近回避</t>
    <rPh sb="0" eb="2">
      <t>トクテイ</t>
    </rPh>
    <rPh sb="2" eb="4">
      <t>センパク</t>
    </rPh>
    <rPh sb="6" eb="8">
      <t>セッキン</t>
    </rPh>
    <rPh sb="8" eb="10">
      <t>カイヒ</t>
    </rPh>
    <phoneticPr fontId="2"/>
  </si>
  <si>
    <t>その他安全上必要な場合</t>
    <rPh sb="2" eb="3">
      <t>タ</t>
    </rPh>
    <rPh sb="3" eb="5">
      <t>アンゼン</t>
    </rPh>
    <rPh sb="5" eb="6">
      <t>ジョウ</t>
    </rPh>
    <rPh sb="6" eb="8">
      <t>ヒツヨウ</t>
    </rPh>
    <rPh sb="9" eb="11">
      <t>バアイ</t>
    </rPh>
    <phoneticPr fontId="2"/>
  </si>
  <si>
    <t>日本船</t>
    <rPh sb="0" eb="3">
      <t>ニホンセン</t>
    </rPh>
    <phoneticPr fontId="2"/>
  </si>
  <si>
    <t>外国船</t>
    <rPh sb="0" eb="3">
      <t>ガイコクセン</t>
    </rPh>
    <phoneticPr fontId="2"/>
  </si>
  <si>
    <t>（単位：隻）</t>
    <rPh sb="1" eb="3">
      <t>タンイ</t>
    </rPh>
    <rPh sb="4" eb="5">
      <t>セキ</t>
    </rPh>
    <phoneticPr fontId="2"/>
  </si>
  <si>
    <t>総　　　　計</t>
    <rPh sb="0" eb="6">
      <t>ソウケイ</t>
    </rPh>
    <phoneticPr fontId="2"/>
  </si>
  <si>
    <t>巨　　　　　　　　　　　　　大　　　　　　　　　　　　　船</t>
    <rPh sb="0" eb="29">
      <t>キョダイセン</t>
    </rPh>
    <phoneticPr fontId="2"/>
  </si>
  <si>
    <t>準巨大船</t>
    <rPh sb="0" eb="1">
      <t>ジュン</t>
    </rPh>
    <rPh sb="1" eb="4">
      <t>キョダイセン</t>
    </rPh>
    <phoneticPr fontId="2"/>
  </si>
  <si>
    <t>物  件
えい（押）航船</t>
    <rPh sb="0" eb="4">
      <t>ブッケン</t>
    </rPh>
    <rPh sb="8" eb="9">
      <t>オ</t>
    </rPh>
    <rPh sb="10" eb="11">
      <t>コウコウ</t>
    </rPh>
    <rPh sb="11" eb="12">
      <t>セン</t>
    </rPh>
    <phoneticPr fontId="2"/>
  </si>
  <si>
    <t>合　　　　  計</t>
    <rPh sb="0" eb="8">
      <t>ゴウケイ</t>
    </rPh>
    <phoneticPr fontId="2"/>
  </si>
  <si>
    <t>危 険 物 積 載 船</t>
    <rPh sb="0" eb="5">
      <t>キケンブツ</t>
    </rPh>
    <rPh sb="6" eb="9">
      <t>セキサイ</t>
    </rPh>
    <rPh sb="10" eb="11">
      <t>セン</t>
    </rPh>
    <phoneticPr fontId="2"/>
  </si>
  <si>
    <t>合　　　　計</t>
    <rPh sb="0" eb="6">
      <t>ゴウケイ</t>
    </rPh>
    <phoneticPr fontId="2"/>
  </si>
  <si>
    <t>浦賀水道</t>
    <rPh sb="0" eb="2">
      <t>ウラガ</t>
    </rPh>
    <rPh sb="2" eb="4">
      <t>スイドウ</t>
    </rPh>
    <phoneticPr fontId="2"/>
  </si>
  <si>
    <t>中ノ瀬</t>
    <rPh sb="0" eb="1">
      <t>ナカ</t>
    </rPh>
    <rPh sb="2" eb="3">
      <t>セ</t>
    </rPh>
    <phoneticPr fontId="2"/>
  </si>
  <si>
    <t>伊良湖水道</t>
    <rPh sb="0" eb="3">
      <t>イラゴ</t>
    </rPh>
    <rPh sb="3" eb="5">
      <t>スイドウ</t>
    </rPh>
    <phoneticPr fontId="2"/>
  </si>
  <si>
    <t>明石海峡</t>
    <rPh sb="0" eb="4">
      <t>アカシ</t>
    </rPh>
    <phoneticPr fontId="2"/>
  </si>
  <si>
    <t>備讃瀬戸東</t>
    <rPh sb="0" eb="5">
      <t>ビサン</t>
    </rPh>
    <phoneticPr fontId="2"/>
  </si>
  <si>
    <t>宇高東</t>
    <rPh sb="0" eb="2">
      <t>ビサン</t>
    </rPh>
    <rPh sb="2" eb="3">
      <t>ヒガシ</t>
    </rPh>
    <phoneticPr fontId="2"/>
  </si>
  <si>
    <t>宇高西</t>
    <rPh sb="0" eb="2">
      <t>ビサン</t>
    </rPh>
    <rPh sb="2" eb="3">
      <t>ニシ</t>
    </rPh>
    <phoneticPr fontId="2"/>
  </si>
  <si>
    <t>備讃瀬戸北</t>
    <rPh sb="0" eb="4">
      <t>ビサン</t>
    </rPh>
    <rPh sb="4" eb="5">
      <t>キタ</t>
    </rPh>
    <phoneticPr fontId="2"/>
  </si>
  <si>
    <t>備讃瀬戸南</t>
    <rPh sb="0" eb="4">
      <t>ビサン</t>
    </rPh>
    <rPh sb="4" eb="5">
      <t>ミナミ</t>
    </rPh>
    <phoneticPr fontId="2"/>
  </si>
  <si>
    <t>水島</t>
    <rPh sb="0" eb="2">
      <t>ミズシマ</t>
    </rPh>
    <phoneticPr fontId="2"/>
  </si>
  <si>
    <t>来島海峡</t>
    <rPh sb="0" eb="4">
      <t>クルシマ</t>
    </rPh>
    <phoneticPr fontId="2"/>
  </si>
  <si>
    <t>情報提供</t>
    <rPh sb="0" eb="2">
      <t>ジョウホウ</t>
    </rPh>
    <rPh sb="2" eb="4">
      <t>テイキョウ</t>
    </rPh>
    <phoneticPr fontId="2"/>
  </si>
  <si>
    <t>勧告</t>
    <rPh sb="0" eb="2">
      <t>カンコク</t>
    </rPh>
    <phoneticPr fontId="2"/>
  </si>
  <si>
    <t>航路外待機指示</t>
    <rPh sb="0" eb="2">
      <t>コウロ</t>
    </rPh>
    <rPh sb="2" eb="3">
      <t>ガイ</t>
    </rPh>
    <rPh sb="3" eb="5">
      <t>タイキ</t>
    </rPh>
    <rPh sb="5" eb="7">
      <t>シジ</t>
    </rPh>
    <phoneticPr fontId="2"/>
  </si>
  <si>
    <t>視界制限</t>
    <rPh sb="0" eb="2">
      <t>シカイ</t>
    </rPh>
    <rPh sb="2" eb="4">
      <t>セイゲン</t>
    </rPh>
    <phoneticPr fontId="2"/>
  </si>
  <si>
    <t>最低速力</t>
    <rPh sb="0" eb="2">
      <t>サイテイ</t>
    </rPh>
    <rPh sb="2" eb="4">
      <t>ソクリョク</t>
    </rPh>
    <phoneticPr fontId="2"/>
  </si>
  <si>
    <t>巨大船との行き会い</t>
    <rPh sb="0" eb="3">
      <t>キョダイセン</t>
    </rPh>
    <rPh sb="5" eb="6">
      <t>イ</t>
    </rPh>
    <rPh sb="7" eb="8">
      <t>ア</t>
    </rPh>
    <phoneticPr fontId="2"/>
  </si>
  <si>
    <t>巨大船及び準巨大船でな い危険物積載船</t>
    <rPh sb="0" eb="3">
      <t>キョダイセン</t>
    </rPh>
    <rPh sb="3" eb="4">
      <t>オヨ</t>
    </rPh>
    <rPh sb="5" eb="6">
      <t>ジュン</t>
    </rPh>
    <rPh sb="6" eb="8">
      <t>キョダイ</t>
    </rPh>
    <rPh sb="8" eb="9">
      <t>セン</t>
    </rPh>
    <rPh sb="13" eb="15">
      <t>キケン</t>
    </rPh>
    <rPh sb="15" eb="16">
      <t>ブツ</t>
    </rPh>
    <rPh sb="16" eb="17">
      <t>セキ</t>
    </rPh>
    <rPh sb="17" eb="18">
      <t>ミツル</t>
    </rPh>
    <rPh sb="18" eb="19">
      <t>セン</t>
    </rPh>
    <phoneticPr fontId="2"/>
  </si>
  <si>
    <t>（注）　準巨大船とは、海上交通安全法第２２条第２号の船舶をいう。</t>
    <rPh sb="1" eb="2">
      <t>チュウ</t>
    </rPh>
    <rPh sb="4" eb="5">
      <t>ジュン</t>
    </rPh>
    <rPh sb="5" eb="7">
      <t>キョダイ</t>
    </rPh>
    <rPh sb="7" eb="8">
      <t>セン</t>
    </rPh>
    <rPh sb="11" eb="13">
      <t>カイジョウ</t>
    </rPh>
    <rPh sb="13" eb="15">
      <t>コウツウ</t>
    </rPh>
    <rPh sb="15" eb="17">
      <t>アンゼン</t>
    </rPh>
    <rPh sb="17" eb="18">
      <t>ホウ</t>
    </rPh>
    <rPh sb="18" eb="19">
      <t>ダイ</t>
    </rPh>
    <rPh sb="21" eb="22">
      <t>ジョウ</t>
    </rPh>
    <rPh sb="22" eb="23">
      <t>ダイ</t>
    </rPh>
    <rPh sb="24" eb="25">
      <t>ゴウ</t>
    </rPh>
    <rPh sb="26" eb="28">
      <t>センパク</t>
    </rPh>
    <phoneticPr fontId="2"/>
  </si>
  <si>
    <t>２　海 上 交 通 セ ン タ ー 別 情 報 提 供 等 実 施 状 況</t>
    <phoneticPr fontId="2"/>
  </si>
  <si>
    <t>管制船舶通航状況比較表（対前年比）</t>
    <rPh sb="0" eb="2">
      <t>カンセイ</t>
    </rPh>
    <rPh sb="2" eb="4">
      <t>センパク</t>
    </rPh>
    <rPh sb="4" eb="6">
      <t>ツウコウ</t>
    </rPh>
    <rPh sb="6" eb="8">
      <t>ジョウキョウ</t>
    </rPh>
    <rPh sb="8" eb="10">
      <t>ヒカク</t>
    </rPh>
    <rPh sb="10" eb="11">
      <t>ヒョウ</t>
    </rPh>
    <rPh sb="12" eb="13">
      <t>タイ</t>
    </rPh>
    <rPh sb="13" eb="15">
      <t>ゼンネン</t>
    </rPh>
    <rPh sb="15" eb="16">
      <t>ヒカク</t>
    </rPh>
    <phoneticPr fontId="8"/>
  </si>
  <si>
    <t>（単位：隻）</t>
    <rPh sb="1" eb="3">
      <t>タンイ</t>
    </rPh>
    <rPh sb="4" eb="5">
      <t>セキ</t>
    </rPh>
    <phoneticPr fontId="8"/>
  </si>
  <si>
    <t>区分</t>
    <rPh sb="0" eb="2">
      <t>クブン</t>
    </rPh>
    <phoneticPr fontId="8"/>
  </si>
  <si>
    <t>本年</t>
    <rPh sb="0" eb="2">
      <t>ホンネン</t>
    </rPh>
    <phoneticPr fontId="8"/>
  </si>
  <si>
    <t>前年</t>
    <rPh sb="0" eb="2">
      <t>ゼンネンブン</t>
    </rPh>
    <phoneticPr fontId="8"/>
  </si>
  <si>
    <t>対前年比</t>
    <rPh sb="0" eb="1">
      <t>タイ</t>
    </rPh>
    <rPh sb="1" eb="4">
      <t>ゼンネンヒ</t>
    </rPh>
    <phoneticPr fontId="8"/>
  </si>
  <si>
    <t>合計</t>
    <rPh sb="0" eb="2">
      <t>ゴウケイ</t>
    </rPh>
    <phoneticPr fontId="8"/>
  </si>
  <si>
    <t>浦賀水道</t>
    <rPh sb="0" eb="2">
      <t>ウラガ</t>
    </rPh>
    <rPh sb="2" eb="4">
      <t>スイドウ</t>
    </rPh>
    <phoneticPr fontId="8"/>
  </si>
  <si>
    <t>中ノ瀬</t>
    <rPh sb="0" eb="3">
      <t>ナカノセ</t>
    </rPh>
    <phoneticPr fontId="8"/>
  </si>
  <si>
    <t>伊良湖水道</t>
    <rPh sb="0" eb="2">
      <t>イラコ</t>
    </rPh>
    <rPh sb="2" eb="3">
      <t>ミズウミ</t>
    </rPh>
    <rPh sb="3" eb="5">
      <t>スイドウ</t>
    </rPh>
    <phoneticPr fontId="8"/>
  </si>
  <si>
    <t>明石海峡</t>
    <rPh sb="0" eb="2">
      <t>アカシ</t>
    </rPh>
    <rPh sb="2" eb="4">
      <t>カイキョウ</t>
    </rPh>
    <phoneticPr fontId="8"/>
  </si>
  <si>
    <t>備讃瀬戸東</t>
    <rPh sb="0" eb="1">
      <t>ビ</t>
    </rPh>
    <rPh sb="1" eb="2">
      <t>サン</t>
    </rPh>
    <rPh sb="2" eb="4">
      <t>セト</t>
    </rPh>
    <rPh sb="4" eb="5">
      <t>ヒガシ</t>
    </rPh>
    <phoneticPr fontId="8"/>
  </si>
  <si>
    <t>宇高東</t>
    <rPh sb="0" eb="2">
      <t>ウコウ</t>
    </rPh>
    <rPh sb="2" eb="3">
      <t>ヒガシ</t>
    </rPh>
    <phoneticPr fontId="8"/>
  </si>
  <si>
    <t>宇高西</t>
    <rPh sb="0" eb="2">
      <t>ウコウ</t>
    </rPh>
    <rPh sb="2" eb="3">
      <t>ニシ</t>
    </rPh>
    <phoneticPr fontId="8"/>
  </si>
  <si>
    <t>備讃瀬戸北</t>
    <rPh sb="0" eb="1">
      <t>ビ</t>
    </rPh>
    <rPh sb="1" eb="2">
      <t>サン</t>
    </rPh>
    <rPh sb="2" eb="4">
      <t>セト</t>
    </rPh>
    <rPh sb="4" eb="5">
      <t>キタ</t>
    </rPh>
    <phoneticPr fontId="8"/>
  </si>
  <si>
    <t>備讃瀬戸南</t>
    <rPh sb="0" eb="1">
      <t>ビ</t>
    </rPh>
    <rPh sb="1" eb="2">
      <t>サン</t>
    </rPh>
    <rPh sb="2" eb="4">
      <t>セト</t>
    </rPh>
    <rPh sb="4" eb="5">
      <t>ミナミ</t>
    </rPh>
    <phoneticPr fontId="8"/>
  </si>
  <si>
    <t>水島</t>
    <rPh sb="0" eb="2">
      <t>ミズシマ</t>
    </rPh>
    <phoneticPr fontId="8"/>
  </si>
  <si>
    <t>来島海峡</t>
    <rPh sb="0" eb="2">
      <t>クルシマ</t>
    </rPh>
    <rPh sb="2" eb="4">
      <t>カイキョウ</t>
    </rPh>
    <phoneticPr fontId="8"/>
  </si>
  <si>
    <t>※平成22年7月1日以降、管制船舶の基準変更</t>
    <rPh sb="1" eb="3">
      <t>ヘイセイ</t>
    </rPh>
    <rPh sb="5" eb="6">
      <t>ネン</t>
    </rPh>
    <rPh sb="7" eb="8">
      <t>ガツ</t>
    </rPh>
    <rPh sb="9" eb="10">
      <t>ニチ</t>
    </rPh>
    <rPh sb="10" eb="12">
      <t>イコウ</t>
    </rPh>
    <rPh sb="13" eb="15">
      <t>カンセイ</t>
    </rPh>
    <rPh sb="15" eb="17">
      <t>センパク</t>
    </rPh>
    <rPh sb="18" eb="20">
      <t>キジュン</t>
    </rPh>
    <rPh sb="20" eb="22">
      <t>ヘンコウ</t>
    </rPh>
    <phoneticPr fontId="8"/>
  </si>
  <si>
    <t>東京湾
海上交通
センター</t>
    <rPh sb="0" eb="3">
      <t>トウキョウワン</t>
    </rPh>
    <rPh sb="4" eb="6">
      <t>カイジョウ</t>
    </rPh>
    <rPh sb="6" eb="8">
      <t>コウツウ</t>
    </rPh>
    <phoneticPr fontId="2"/>
  </si>
  <si>
    <t>伊勢湾
海上交通
センター</t>
    <rPh sb="0" eb="3">
      <t>イセワン</t>
    </rPh>
    <rPh sb="4" eb="6">
      <t>カイジョウ</t>
    </rPh>
    <rPh sb="6" eb="8">
      <t>コウツウ</t>
    </rPh>
    <phoneticPr fontId="2"/>
  </si>
  <si>
    <t>大阪湾
海上交通
センター</t>
    <rPh sb="0" eb="2">
      <t>オオサカ</t>
    </rPh>
    <rPh sb="2" eb="3">
      <t>ワン</t>
    </rPh>
    <rPh sb="4" eb="6">
      <t>カイジョウ</t>
    </rPh>
    <rPh sb="6" eb="8">
      <t>コウツウ</t>
    </rPh>
    <phoneticPr fontId="2"/>
  </si>
  <si>
    <t>備讃瀬戸
海上交通
センター</t>
    <rPh sb="0" eb="2">
      <t>ビサン</t>
    </rPh>
    <rPh sb="2" eb="4">
      <t>セト</t>
    </rPh>
    <rPh sb="5" eb="7">
      <t>カイジョウ</t>
    </rPh>
    <rPh sb="7" eb="9">
      <t>コウツウ</t>
    </rPh>
    <phoneticPr fontId="2"/>
  </si>
  <si>
    <t>来島海峡
海上交通
センター</t>
    <rPh sb="0" eb="4">
      <t>クルシマ</t>
    </rPh>
    <rPh sb="5" eb="7">
      <t>カイジョウ</t>
    </rPh>
    <rPh sb="7" eb="9">
      <t>コウツウ</t>
    </rPh>
    <phoneticPr fontId="2"/>
  </si>
  <si>
    <t>関門海峡
海上交通
センター</t>
    <rPh sb="0" eb="2">
      <t>カンモン</t>
    </rPh>
    <rPh sb="2" eb="4">
      <t>カイキョウ</t>
    </rPh>
    <rPh sb="5" eb="7">
      <t>カイジョウ</t>
    </rPh>
    <rPh sb="7" eb="9">
      <t>コウツウ</t>
    </rPh>
    <phoneticPr fontId="2"/>
  </si>
  <si>
    <t>第四部　通 航 統 計</t>
    <rPh sb="0" eb="1">
      <t>ダイ</t>
    </rPh>
    <rPh sb="1" eb="2">
      <t>４</t>
    </rPh>
    <rPh sb="2" eb="3">
      <t>ブ</t>
    </rPh>
    <rPh sb="4" eb="5">
      <t>ツウ</t>
    </rPh>
    <rPh sb="6" eb="7">
      <t>コウ</t>
    </rPh>
    <rPh sb="8" eb="11">
      <t>トウケイ</t>
    </rPh>
    <phoneticPr fontId="8"/>
  </si>
  <si>
    <t>危険物積載船を
除く準巨大船</t>
    <rPh sb="0" eb="3">
      <t>キケンブツ</t>
    </rPh>
    <rPh sb="3" eb="5">
      <t>セキサイ</t>
    </rPh>
    <rPh sb="5" eb="6">
      <t>セン</t>
    </rPh>
    <rPh sb="8" eb="9">
      <t>ノゾ</t>
    </rPh>
    <rPh sb="10" eb="11">
      <t>ジュン</t>
    </rPh>
    <rPh sb="11" eb="14">
      <t>キョダイセン</t>
    </rPh>
    <phoneticPr fontId="2"/>
  </si>
  <si>
    <t>危険物積載船を
除く巨大船</t>
    <rPh sb="0" eb="3">
      <t>キケンブツ</t>
    </rPh>
    <rPh sb="3" eb="5">
      <t>セキサイ</t>
    </rPh>
    <rPh sb="5" eb="6">
      <t>セン</t>
    </rPh>
    <rPh sb="8" eb="9">
      <t>ノゾ</t>
    </rPh>
    <rPh sb="10" eb="13">
      <t>キョダイセン</t>
    </rPh>
    <phoneticPr fontId="2"/>
  </si>
  <si>
    <t xml:space="preserve">
　　　 　巨大船等種別
　　　　　  　国　籍　別
　航　路　別</t>
    <rPh sb="6" eb="8">
      <t>キョダイ</t>
    </rPh>
    <rPh sb="8" eb="9">
      <t>フネ</t>
    </rPh>
    <rPh sb="9" eb="10">
      <t>トウ</t>
    </rPh>
    <rPh sb="10" eb="11">
      <t>タネ</t>
    </rPh>
    <rPh sb="11" eb="12">
      <t>ベツ</t>
    </rPh>
    <rPh sb="21" eb="22">
      <t>コク</t>
    </rPh>
    <rPh sb="23" eb="24">
      <t>セキ</t>
    </rPh>
    <rPh sb="25" eb="26">
      <t>ベツ</t>
    </rPh>
    <rPh sb="33" eb="34">
      <t>コウロ</t>
    </rPh>
    <rPh sb="35" eb="36">
      <t>ロ</t>
    </rPh>
    <rPh sb="37" eb="38">
      <t>ベツ</t>
    </rPh>
    <phoneticPr fontId="2"/>
  </si>
  <si>
    <t>名古屋港
海上交通
センター</t>
    <rPh sb="0" eb="4">
      <t>ナゴヤコウ</t>
    </rPh>
    <rPh sb="5" eb="7">
      <t>カイジョウ</t>
    </rPh>
    <rPh sb="7" eb="9">
      <t>コウツウ</t>
    </rPh>
    <phoneticPr fontId="2"/>
  </si>
  <si>
    <t>交通方法に関する情報</t>
    <phoneticPr fontId="2"/>
  </si>
  <si>
    <t>船舶交通の障害発生に
関する情報</t>
    <phoneticPr fontId="2"/>
  </si>
  <si>
    <t>安全に航行することが困難な
海域への接近に関する情報</t>
    <phoneticPr fontId="2"/>
  </si>
  <si>
    <t>進路を避けることが容易でない船舶に関する情報</t>
    <phoneticPr fontId="2"/>
  </si>
  <si>
    <t>特定船舶との接近に関する情報</t>
    <phoneticPr fontId="2"/>
  </si>
  <si>
    <t>その他の情報</t>
    <phoneticPr fontId="2"/>
  </si>
  <si>
    <t>１　航 路 別 管 制 船 舶 通 航 状 況　</t>
    <rPh sb="2" eb="3">
      <t>コウ</t>
    </rPh>
    <rPh sb="4" eb="5">
      <t>ロ</t>
    </rPh>
    <rPh sb="6" eb="7">
      <t>ベツ</t>
    </rPh>
    <rPh sb="8" eb="9">
      <t>カン</t>
    </rPh>
    <rPh sb="10" eb="11">
      <t>セイ</t>
    </rPh>
    <rPh sb="12" eb="13">
      <t>セン</t>
    </rPh>
    <rPh sb="14" eb="15">
      <t>ハク</t>
    </rPh>
    <rPh sb="16" eb="17">
      <t>トオ</t>
    </rPh>
    <rPh sb="18" eb="19">
      <t>コウ</t>
    </rPh>
    <rPh sb="20" eb="21">
      <t>ジョウ</t>
    </rPh>
    <rPh sb="22" eb="23">
      <t>キョウ</t>
    </rPh>
    <phoneticPr fontId="2"/>
  </si>
  <si>
    <t xml:space="preserve">
  海上交通
  センター別</t>
    <rPh sb="13" eb="15">
      <t>カイジョウ</t>
    </rPh>
    <rPh sb="15" eb="17">
      <t>コウツウ</t>
    </rPh>
    <rPh sb="24" eb="25">
      <t>ベツ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</si>
</sst>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76" formatCode="#,##0_ "/>
    <numFmt numFmtId="177" formatCode="#,##0_ ;[Red]\-#,##0\ "/>
    <numFmt numFmtId="178" formatCode="0.00_ "/>
    <numFmt numFmtId="179" formatCode="[=0]&quot;-&quot;;#,##0"/>
    <numFmt numFmtId="180" formatCode="[=0]&quot;-&quot;;#,##0.00"/>
  </numFmts>
  <fonts count="23" x14ac:knownFonts="1">
    <font>
      <sz val="11"/>
      <name val="ＭＳ Ｐゴシック"/>
      <family val="3"/>
      <charset val="128"/>
    </font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6"/>
      <name val="ＭＳ Ｐゴシック"/>
      <family val="3"/>
      <charset val="128"/>
    </font>
    <font>
      <sz val="20"/>
      <name val="ＭＳ Ｐゴシック"/>
      <family val="3"/>
      <charset val="128"/>
    </font>
    <font>
      <sz val="16"/>
      <name val="ＭＳ Ｐ明朝"/>
      <family val="1"/>
      <charset val="128"/>
    </font>
    <font>
      <sz val="18"/>
      <name val="ＭＳ Ｐゴシック"/>
      <family val="3"/>
      <charset val="128"/>
    </font>
    <font>
      <sz val="10.5"/>
      <name val="ＭＳ 明朝"/>
      <family val="1"/>
      <charset val="128"/>
    </font>
    <font>
      <sz val="6"/>
      <name val="ＭＳ Ｐ明朝"/>
      <family val="1"/>
      <charset val="128"/>
    </font>
    <font>
      <sz val="18"/>
      <name val="ＭＳ ゴシック"/>
      <family val="3"/>
      <charset val="128"/>
    </font>
    <font>
      <sz val="10"/>
      <name val="ＭＳ Ｐ明朝"/>
      <family val="1"/>
      <charset val="128"/>
    </font>
    <font>
      <sz val="11"/>
      <name val="ＭＳ Ｐ明朝"/>
      <family val="1"/>
      <charset val="128"/>
    </font>
    <font>
      <b/>
      <sz val="24"/>
      <name val="ＭＳ Ｐゴシック"/>
      <family val="3"/>
      <charset val="128"/>
    </font>
    <font>
      <sz val="24"/>
      <name val="ＭＳ Ｐゴシック"/>
      <family val="3"/>
      <charset val="128"/>
    </font>
    <font>
      <sz val="11"/>
      <name val="ＭＳ Ｐゴシック"/>
      <family val="3"/>
      <charset val="128"/>
    </font>
    <font>
      <sz val="11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  <scheme val="major"/>
    </font>
    <font>
      <sz val="11"/>
      <color theme="1"/>
      <name val="ＭＳ Ｐゴシック"/>
      <family val="3"/>
      <charset val="128"/>
    </font>
    <font>
      <sz val="10"/>
      <color indexed="8"/>
      <name val="ＭＳ Ｐゴシック"/>
      <family val="3"/>
      <charset val="128"/>
      <scheme val="major"/>
    </font>
    <font>
      <sz val="11"/>
      <color indexed="8"/>
      <name val="ＭＳ Ｐゴシック"/>
      <family val="3"/>
      <charset val="128"/>
      <scheme val="major"/>
    </font>
    <font>
      <sz val="10"/>
      <name val="ＭＳ Ｐゴシック"/>
      <family val="3"/>
      <charset val="128"/>
      <scheme val="major"/>
    </font>
    <font>
      <sz val="20"/>
      <name val="ＭＳ Ｐゴシック"/>
      <family val="3"/>
      <charset val="128"/>
      <scheme val="major"/>
    </font>
    <font>
      <sz val="9"/>
      <name val="ＭＳ Ｐゴシック"/>
      <family val="3"/>
      <charset val="128"/>
      <scheme val="major"/>
    </font>
  </fonts>
  <fills count="2">
    <fill>
      <patternFill patternType="none"/>
    </fill>
    <fill>
      <patternFill patternType="gray125"/>
    </fill>
  </fills>
  <borders count="70">
    <border>
      <left/>
      <right/>
      <top/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double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/>
      <diagonal style="thin">
        <color indexed="64"/>
      </diagonal>
    </border>
    <border diagonalDown="1">
      <left style="medium">
        <color indexed="64"/>
      </left>
      <right style="thin">
        <color indexed="64"/>
      </right>
      <top/>
      <bottom/>
      <diagonal style="thin">
        <color indexed="64"/>
      </diagonal>
    </border>
    <border diagonalDown="1">
      <left style="medium">
        <color indexed="64"/>
      </left>
      <right style="thin">
        <color indexed="64"/>
      </right>
      <top/>
      <bottom style="thin">
        <color indexed="64"/>
      </bottom>
      <diagonal style="thin">
        <color indexed="64"/>
      </diagonal>
    </border>
    <border>
      <left/>
      <right style="double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double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">
    <xf numFmtId="0" fontId="0" fillId="0" borderId="0">
      <alignment vertical="center"/>
    </xf>
    <xf numFmtId="38" fontId="1" fillId="0" borderId="0" applyFont="0" applyFill="0" applyBorder="0" applyAlignment="0" applyProtection="0">
      <alignment vertical="center"/>
    </xf>
    <xf numFmtId="0" fontId="1" fillId="0" borderId="0"/>
    <xf numFmtId="0" fontId="1" fillId="0" borderId="0">
      <alignment vertical="center"/>
    </xf>
    <xf numFmtId="0" fontId="1" fillId="0" borderId="0"/>
    <xf numFmtId="0" fontId="7" fillId="0" borderId="0"/>
  </cellStyleXfs>
  <cellXfs count="183">
    <xf numFmtId="0" fontId="0" fillId="0" borderId="0" xfId="0">
      <alignment vertical="center"/>
    </xf>
    <xf numFmtId="0" fontId="4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3" fillId="0" borderId="0" xfId="0" applyFont="1" applyFill="1">
      <alignment vertical="center"/>
    </xf>
    <xf numFmtId="0" fontId="14" fillId="0" borderId="0" xfId="0" applyFont="1" applyFill="1">
      <alignment vertical="center"/>
    </xf>
    <xf numFmtId="0" fontId="6" fillId="0" borderId="1" xfId="4" applyFont="1" applyFill="1" applyBorder="1" applyAlignment="1" applyProtection="1">
      <alignment horizontal="center" vertical="center" textRotation="255" wrapText="1"/>
    </xf>
    <xf numFmtId="0" fontId="6" fillId="0" borderId="2" xfId="0" applyFont="1" applyFill="1" applyBorder="1" applyAlignment="1" applyProtection="1">
      <alignment horizontal="center" vertical="center" textRotation="255" wrapText="1"/>
    </xf>
    <xf numFmtId="0" fontId="6" fillId="0" borderId="3" xfId="0" applyFont="1" applyFill="1" applyBorder="1" applyAlignment="1" applyProtection="1">
      <alignment horizontal="center" vertical="center" textRotation="255" wrapText="1"/>
    </xf>
    <xf numFmtId="0" fontId="6" fillId="0" borderId="4" xfId="0" applyFont="1" applyFill="1" applyBorder="1" applyAlignment="1" applyProtection="1">
      <alignment horizontal="center" vertical="center" textRotation="255" wrapText="1"/>
    </xf>
    <xf numFmtId="0" fontId="6" fillId="0" borderId="5" xfId="0" applyFont="1" applyFill="1" applyBorder="1" applyAlignment="1" applyProtection="1">
      <alignment horizontal="center" vertical="center" textRotation="255" wrapText="1"/>
    </xf>
    <xf numFmtId="0" fontId="6" fillId="0" borderId="5" xfId="0" applyFont="1" applyFill="1" applyBorder="1" applyAlignment="1" applyProtection="1">
      <alignment horizontal="center" vertical="center" wrapText="1"/>
    </xf>
    <xf numFmtId="0" fontId="6" fillId="0" borderId="6" xfId="0" applyFont="1" applyFill="1" applyBorder="1" applyAlignment="1" applyProtection="1">
      <alignment horizontal="center" vertical="center" textRotation="255" wrapText="1"/>
    </xf>
    <xf numFmtId="0" fontId="6" fillId="0" borderId="7" xfId="0" applyFont="1" applyFill="1" applyBorder="1" applyAlignment="1" applyProtection="1">
      <alignment horizontal="center" vertical="center" textRotation="255" wrapText="1"/>
    </xf>
    <xf numFmtId="0" fontId="6" fillId="0" borderId="8" xfId="0" applyFont="1" applyFill="1" applyBorder="1" applyAlignment="1" applyProtection="1">
      <alignment horizontal="center" vertical="center" textRotation="255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11" fillId="0" borderId="2" xfId="5" applyFont="1" applyFill="1" applyBorder="1" applyAlignment="1" applyProtection="1">
      <alignment horizontal="distributed" vertical="center"/>
    </xf>
    <xf numFmtId="176" fontId="1" fillId="0" borderId="2" xfId="1" applyNumberFormat="1" applyFont="1" applyFill="1" applyBorder="1" applyAlignment="1" applyProtection="1">
      <alignment horizontal="right" vertical="center"/>
    </xf>
    <xf numFmtId="176" fontId="11" fillId="0" borderId="2" xfId="1" applyNumberFormat="1" applyFont="1" applyFill="1" applyBorder="1" applyAlignment="1">
      <alignment horizontal="right" vertical="center"/>
    </xf>
    <xf numFmtId="176" fontId="11" fillId="0" borderId="0" xfId="1" applyNumberFormat="1" applyFont="1" applyFill="1" applyBorder="1" applyAlignment="1">
      <alignment horizontal="right" vertical="center"/>
    </xf>
    <xf numFmtId="176" fontId="11" fillId="0" borderId="9" xfId="1" applyNumberFormat="1" applyFont="1" applyFill="1" applyBorder="1" applyAlignment="1">
      <alignment horizontal="right" vertical="center"/>
    </xf>
    <xf numFmtId="38" fontId="15" fillId="0" borderId="10" xfId="1" applyFont="1" applyFill="1" applyBorder="1" applyAlignment="1">
      <alignment horizontal="center" vertical="center"/>
    </xf>
    <xf numFmtId="176" fontId="15" fillId="0" borderId="11" xfId="2" applyNumberFormat="1" applyFont="1" applyFill="1" applyBorder="1" applyAlignment="1">
      <alignment horizontal="right" vertical="center" shrinkToFit="1"/>
    </xf>
    <xf numFmtId="176" fontId="15" fillId="0" borderId="11" xfId="2" applyNumberFormat="1" applyFont="1" applyFill="1" applyBorder="1" applyAlignment="1">
      <alignment horizontal="right" vertical="center"/>
    </xf>
    <xf numFmtId="176" fontId="15" fillId="0" borderId="12" xfId="2" applyNumberFormat="1" applyFont="1" applyFill="1" applyBorder="1" applyAlignment="1">
      <alignment horizontal="right" vertical="center"/>
    </xf>
    <xf numFmtId="176" fontId="15" fillId="0" borderId="13" xfId="1" applyNumberFormat="1" applyFont="1" applyFill="1" applyBorder="1" applyAlignment="1">
      <alignment horizontal="right" vertical="center"/>
    </xf>
    <xf numFmtId="176" fontId="15" fillId="0" borderId="11" xfId="1" applyNumberFormat="1" applyFont="1" applyFill="1" applyBorder="1" applyAlignment="1">
      <alignment horizontal="right" vertical="center"/>
    </xf>
    <xf numFmtId="176" fontId="15" fillId="0" borderId="10" xfId="1" applyNumberFormat="1" applyFont="1" applyFill="1" applyBorder="1" applyAlignment="1">
      <alignment horizontal="right" vertical="center"/>
    </xf>
    <xf numFmtId="176" fontId="15" fillId="0" borderId="14" xfId="2" applyNumberFormat="1" applyFont="1" applyFill="1" applyBorder="1" applyAlignment="1">
      <alignment horizontal="right" vertical="center"/>
    </xf>
    <xf numFmtId="176" fontId="15" fillId="0" borderId="15" xfId="2" applyNumberFormat="1" applyFont="1" applyFill="1" applyBorder="1" applyAlignment="1">
      <alignment horizontal="right" vertical="center"/>
    </xf>
    <xf numFmtId="176" fontId="15" fillId="0" borderId="14" xfId="1" applyNumberFormat="1" applyFont="1" applyFill="1" applyBorder="1" applyAlignment="1">
      <alignment horizontal="right" vertical="center"/>
    </xf>
    <xf numFmtId="0" fontId="1" fillId="0" borderId="0" xfId="2" applyFill="1"/>
    <xf numFmtId="0" fontId="15" fillId="0" borderId="0" xfId="2" applyFont="1" applyFill="1"/>
    <xf numFmtId="0" fontId="15" fillId="0" borderId="0" xfId="2" applyFont="1" applyFill="1" applyAlignment="1">
      <alignment horizontal="right" vertical="center"/>
    </xf>
    <xf numFmtId="0" fontId="15" fillId="0" borderId="11" xfId="2" applyFont="1" applyFill="1" applyBorder="1" applyAlignment="1">
      <alignment horizontal="center" vertical="center"/>
    </xf>
    <xf numFmtId="0" fontId="15" fillId="0" borderId="16" xfId="2" applyFont="1" applyFill="1" applyBorder="1" applyAlignment="1">
      <alignment horizontal="center" vertical="center"/>
    </xf>
    <xf numFmtId="0" fontId="15" fillId="0" borderId="13" xfId="2" applyFont="1" applyFill="1" applyBorder="1" applyAlignment="1">
      <alignment horizontal="center" vertical="center"/>
    </xf>
    <xf numFmtId="0" fontId="15" fillId="0" borderId="15" xfId="2" applyFont="1" applyFill="1" applyBorder="1" applyAlignment="1">
      <alignment horizontal="center" vertical="center"/>
    </xf>
    <xf numFmtId="0" fontId="15" fillId="0" borderId="10" xfId="2" applyFont="1" applyFill="1" applyBorder="1" applyAlignment="1">
      <alignment horizontal="center" vertical="center"/>
    </xf>
    <xf numFmtId="0" fontId="15" fillId="0" borderId="14" xfId="2" applyFont="1" applyFill="1" applyBorder="1" applyAlignment="1">
      <alignment horizontal="center" vertical="center"/>
    </xf>
    <xf numFmtId="0" fontId="1" fillId="0" borderId="0" xfId="2" applyFill="1" applyAlignment="1">
      <alignment horizontal="center" vertical="center"/>
    </xf>
    <xf numFmtId="38" fontId="1" fillId="0" borderId="0" xfId="1" applyFill="1" applyAlignment="1">
      <alignment vertical="center"/>
    </xf>
    <xf numFmtId="0" fontId="1" fillId="0" borderId="0" xfId="2" applyFill="1" applyAlignment="1">
      <alignment horizontal="right" vertical="center"/>
    </xf>
    <xf numFmtId="0" fontId="10" fillId="0" borderId="0" xfId="5" applyFont="1" applyFill="1"/>
    <xf numFmtId="0" fontId="11" fillId="0" borderId="0" xfId="5" applyFont="1" applyFill="1" applyAlignment="1" applyProtection="1">
      <alignment vertical="center"/>
    </xf>
    <xf numFmtId="0" fontId="11" fillId="0" borderId="0" xfId="5" applyFont="1" applyFill="1" applyAlignment="1" applyProtection="1">
      <alignment horizontal="right"/>
    </xf>
    <xf numFmtId="0" fontId="10" fillId="0" borderId="0" xfId="5" applyFont="1" applyFill="1" applyAlignment="1">
      <alignment vertical="center"/>
    </xf>
    <xf numFmtId="0" fontId="11" fillId="0" borderId="17" xfId="5" applyFont="1" applyFill="1" applyBorder="1" applyAlignment="1" applyProtection="1">
      <alignment vertical="center"/>
    </xf>
    <xf numFmtId="0" fontId="11" fillId="0" borderId="2" xfId="5" applyFont="1" applyFill="1" applyBorder="1" applyAlignment="1" applyProtection="1">
      <alignment vertical="center"/>
    </xf>
    <xf numFmtId="0" fontId="11" fillId="0" borderId="3" xfId="5" applyFont="1" applyFill="1" applyBorder="1" applyAlignment="1" applyProtection="1">
      <alignment vertical="center"/>
    </xf>
    <xf numFmtId="0" fontId="11" fillId="0" borderId="18" xfId="5" applyFont="1" applyFill="1" applyBorder="1" applyAlignment="1" applyProtection="1">
      <alignment vertical="center"/>
    </xf>
    <xf numFmtId="0" fontId="11" fillId="0" borderId="19" xfId="5" applyFont="1" applyFill="1" applyBorder="1" applyAlignment="1" applyProtection="1">
      <alignment vertical="center"/>
    </xf>
    <xf numFmtId="0" fontId="11" fillId="0" borderId="20" xfId="5" applyFont="1" applyFill="1" applyBorder="1" applyAlignment="1" applyProtection="1">
      <alignment vertical="center"/>
    </xf>
    <xf numFmtId="0" fontId="11" fillId="0" borderId="21" xfId="5" applyFont="1" applyFill="1" applyBorder="1" applyAlignment="1" applyProtection="1">
      <alignment horizontal="distributed" vertical="center"/>
    </xf>
    <xf numFmtId="0" fontId="11" fillId="0" borderId="21" xfId="5" applyFont="1" applyFill="1" applyBorder="1" applyAlignment="1" applyProtection="1">
      <alignment vertical="center"/>
    </xf>
    <xf numFmtId="176" fontId="1" fillId="0" borderId="2" xfId="1" applyNumberFormat="1" applyFont="1" applyFill="1" applyBorder="1" applyAlignment="1" applyProtection="1">
      <alignment horizontal="center" vertical="center"/>
    </xf>
    <xf numFmtId="176" fontId="1" fillId="0" borderId="22" xfId="1" applyNumberFormat="1" applyFont="1" applyFill="1" applyBorder="1" applyAlignment="1" applyProtection="1">
      <alignment horizontal="center" vertical="center"/>
    </xf>
    <xf numFmtId="179" fontId="1" fillId="0" borderId="6" xfId="5" applyNumberFormat="1" applyFont="1" applyFill="1" applyBorder="1" applyAlignment="1" applyProtection="1">
      <alignment horizontal="center" vertical="center"/>
    </xf>
    <xf numFmtId="179" fontId="1" fillId="0" borderId="21" xfId="5" applyNumberFormat="1" applyFont="1" applyFill="1" applyBorder="1" applyAlignment="1" applyProtection="1">
      <alignment vertical="center"/>
    </xf>
    <xf numFmtId="180" fontId="1" fillId="0" borderId="21" xfId="1" applyNumberFormat="1" applyFont="1" applyFill="1" applyBorder="1" applyAlignment="1" applyProtection="1">
      <alignment horizontal="right" vertical="center"/>
    </xf>
    <xf numFmtId="0" fontId="11" fillId="0" borderId="23" xfId="5" applyFont="1" applyFill="1" applyBorder="1" applyAlignment="1" applyProtection="1">
      <alignment vertical="center"/>
    </xf>
    <xf numFmtId="178" fontId="10" fillId="0" borderId="0" xfId="5" applyNumberFormat="1" applyFont="1" applyFill="1" applyAlignment="1">
      <alignment vertical="center"/>
    </xf>
    <xf numFmtId="0" fontId="11" fillId="0" borderId="24" xfId="5" applyFont="1" applyFill="1" applyBorder="1" applyAlignment="1" applyProtection="1">
      <alignment vertical="center"/>
    </xf>
    <xf numFmtId="0" fontId="11" fillId="0" borderId="0" xfId="5" applyFont="1" applyFill="1" applyBorder="1" applyAlignment="1" applyProtection="1">
      <alignment horizontal="distributed" vertical="center"/>
    </xf>
    <xf numFmtId="0" fontId="11" fillId="0" borderId="0" xfId="5" applyFont="1" applyFill="1" applyBorder="1" applyAlignment="1" applyProtection="1">
      <alignment vertical="center"/>
    </xf>
    <xf numFmtId="179" fontId="11" fillId="0" borderId="18" xfId="1" applyNumberFormat="1" applyFont="1" applyFill="1" applyBorder="1" applyAlignment="1" applyProtection="1">
      <alignment horizontal="center" vertical="center"/>
    </xf>
    <xf numFmtId="179" fontId="11" fillId="0" borderId="25" xfId="1" applyNumberFormat="1" applyFont="1" applyFill="1" applyBorder="1" applyAlignment="1" applyProtection="1">
      <alignment horizontal="center" vertical="center"/>
    </xf>
    <xf numFmtId="179" fontId="11" fillId="0" borderId="26" xfId="5" applyNumberFormat="1" applyFont="1" applyFill="1" applyBorder="1" applyAlignment="1" applyProtection="1">
      <alignment vertical="center"/>
    </xf>
    <xf numFmtId="179" fontId="11" fillId="0" borderId="0" xfId="5" applyNumberFormat="1" applyFont="1" applyFill="1" applyBorder="1" applyAlignment="1" applyProtection="1">
      <alignment vertical="center"/>
    </xf>
    <xf numFmtId="180" fontId="11" fillId="0" borderId="2" xfId="1" applyNumberFormat="1" applyFont="1" applyFill="1" applyBorder="1" applyAlignment="1" applyProtection="1">
      <alignment horizontal="right" vertical="center"/>
    </xf>
    <xf numFmtId="0" fontId="11" fillId="0" borderId="27" xfId="5" applyFont="1" applyFill="1" applyBorder="1" applyAlignment="1" applyProtection="1">
      <alignment vertical="center"/>
    </xf>
    <xf numFmtId="179" fontId="11" fillId="0" borderId="26" xfId="1" applyNumberFormat="1" applyFont="1" applyFill="1" applyBorder="1" applyAlignment="1" applyProtection="1">
      <alignment horizontal="center" vertical="center"/>
    </xf>
    <xf numFmtId="180" fontId="11" fillId="0" borderId="0" xfId="1" applyNumberFormat="1" applyFont="1" applyFill="1" applyBorder="1" applyAlignment="1" applyProtection="1">
      <alignment horizontal="right" vertical="center"/>
    </xf>
    <xf numFmtId="0" fontId="11" fillId="0" borderId="0" xfId="5" applyFont="1" applyFill="1" applyBorder="1" applyAlignment="1" applyProtection="1">
      <alignment horizontal="distributed" vertical="center" wrapText="1"/>
    </xf>
    <xf numFmtId="0" fontId="11" fillId="0" borderId="28" xfId="5" applyFont="1" applyFill="1" applyBorder="1" applyAlignment="1" applyProtection="1">
      <alignment vertical="center"/>
    </xf>
    <xf numFmtId="0" fontId="11" fillId="0" borderId="9" xfId="5" applyFont="1" applyFill="1" applyBorder="1" applyAlignment="1" applyProtection="1">
      <alignment horizontal="distributed" vertical="center"/>
    </xf>
    <xf numFmtId="0" fontId="11" fillId="0" borderId="9" xfId="5" applyFont="1" applyFill="1" applyBorder="1" applyAlignment="1" applyProtection="1">
      <alignment vertical="center"/>
    </xf>
    <xf numFmtId="179" fontId="11" fillId="0" borderId="29" xfId="1" applyNumberFormat="1" applyFont="1" applyFill="1" applyBorder="1" applyAlignment="1" applyProtection="1">
      <alignment horizontal="center" vertical="center"/>
    </xf>
    <xf numFmtId="179" fontId="11" fillId="0" borderId="30" xfId="1" applyNumberFormat="1" applyFont="1" applyFill="1" applyBorder="1" applyAlignment="1" applyProtection="1">
      <alignment horizontal="center" vertical="center"/>
    </xf>
    <xf numFmtId="179" fontId="11" fillId="0" borderId="29" xfId="5" applyNumberFormat="1" applyFont="1" applyFill="1" applyBorder="1" applyAlignment="1" applyProtection="1">
      <alignment vertical="center"/>
    </xf>
    <xf numFmtId="179" fontId="11" fillId="0" borderId="9" xfId="5" applyNumberFormat="1" applyFont="1" applyFill="1" applyBorder="1" applyAlignment="1" applyProtection="1">
      <alignment vertical="center"/>
    </xf>
    <xf numFmtId="180" fontId="11" fillId="0" borderId="9" xfId="1" applyNumberFormat="1" applyFont="1" applyFill="1" applyBorder="1" applyAlignment="1" applyProtection="1">
      <alignment horizontal="right" vertical="center"/>
    </xf>
    <xf numFmtId="0" fontId="11" fillId="0" borderId="31" xfId="5" applyFont="1" applyFill="1" applyBorder="1" applyAlignment="1" applyProtection="1">
      <alignment vertical="center"/>
    </xf>
    <xf numFmtId="0" fontId="11" fillId="0" borderId="0" xfId="5" applyFont="1" applyFill="1" applyBorder="1" applyAlignment="1">
      <alignment vertical="center"/>
    </xf>
    <xf numFmtId="0" fontId="11" fillId="0" borderId="0" xfId="5" applyFont="1" applyFill="1" applyBorder="1" applyAlignment="1">
      <alignment horizontal="distributed" vertical="center"/>
    </xf>
    <xf numFmtId="177" fontId="11" fillId="0" borderId="0" xfId="1" applyNumberFormat="1" applyFont="1" applyFill="1" applyBorder="1" applyAlignment="1">
      <alignment horizontal="right" vertical="center"/>
    </xf>
    <xf numFmtId="177" fontId="11" fillId="0" borderId="0" xfId="1" applyNumberFormat="1" applyFont="1" applyFill="1" applyBorder="1" applyAlignment="1">
      <alignment horizontal="center" vertical="center"/>
    </xf>
    <xf numFmtId="177" fontId="11" fillId="0" borderId="0" xfId="1" applyNumberFormat="1" applyFont="1" applyFill="1" applyBorder="1" applyAlignment="1">
      <alignment horizontal="left" vertical="center"/>
    </xf>
    <xf numFmtId="178" fontId="11" fillId="0" borderId="0" xfId="1" applyNumberFormat="1" applyFont="1" applyFill="1" applyBorder="1" applyAlignment="1">
      <alignment horizontal="right" vertical="center"/>
    </xf>
    <xf numFmtId="0" fontId="15" fillId="0" borderId="10" xfId="2" applyFont="1" applyFill="1" applyBorder="1" applyAlignment="1">
      <alignment horizontal="distributed" vertical="center"/>
    </xf>
    <xf numFmtId="0" fontId="15" fillId="0" borderId="32" xfId="2" applyFont="1" applyFill="1" applyBorder="1" applyAlignment="1">
      <alignment horizontal="distributed" vertical="center"/>
    </xf>
    <xf numFmtId="176" fontId="15" fillId="0" borderId="33" xfId="2" applyNumberFormat="1" applyFont="1" applyFill="1" applyBorder="1" applyAlignment="1">
      <alignment horizontal="right" vertical="center" shrinkToFit="1"/>
    </xf>
    <xf numFmtId="176" fontId="15" fillId="0" borderId="33" xfId="2" applyNumberFormat="1" applyFont="1" applyFill="1" applyBorder="1" applyAlignment="1">
      <alignment horizontal="right" vertical="center"/>
    </xf>
    <xf numFmtId="176" fontId="15" fillId="0" borderId="34" xfId="2" applyNumberFormat="1" applyFont="1" applyFill="1" applyBorder="1" applyAlignment="1">
      <alignment horizontal="right" vertical="center"/>
    </xf>
    <xf numFmtId="176" fontId="15" fillId="0" borderId="35" xfId="1" applyNumberFormat="1" applyFont="1" applyFill="1" applyBorder="1" applyAlignment="1">
      <alignment horizontal="right" vertical="center"/>
    </xf>
    <xf numFmtId="176" fontId="15" fillId="0" borderId="33" xfId="1" applyNumberFormat="1" applyFont="1" applyFill="1" applyBorder="1" applyAlignment="1">
      <alignment horizontal="right" vertical="center"/>
    </xf>
    <xf numFmtId="176" fontId="15" fillId="0" borderId="32" xfId="1" applyNumberFormat="1" applyFont="1" applyFill="1" applyBorder="1" applyAlignment="1">
      <alignment horizontal="right" vertical="center"/>
    </xf>
    <xf numFmtId="0" fontId="6" fillId="0" borderId="38" xfId="2" applyFont="1" applyFill="1" applyBorder="1" applyAlignment="1">
      <alignment horizontal="distributed" vertical="center" wrapText="1"/>
    </xf>
    <xf numFmtId="38" fontId="6" fillId="0" borderId="39" xfId="1" applyFont="1" applyFill="1" applyBorder="1" applyAlignment="1">
      <alignment horizontal="right" vertical="center" wrapText="1"/>
    </xf>
    <xf numFmtId="0" fontId="6" fillId="0" borderId="43" xfId="2" applyFont="1" applyFill="1" applyBorder="1" applyAlignment="1">
      <alignment horizontal="distributed" vertical="center" wrapText="1"/>
    </xf>
    <xf numFmtId="38" fontId="6" fillId="0" borderId="44" xfId="1" applyFont="1" applyFill="1" applyBorder="1" applyAlignment="1">
      <alignment horizontal="right" vertical="center" wrapText="1"/>
    </xf>
    <xf numFmtId="0" fontId="6" fillId="0" borderId="49" xfId="2" applyFont="1" applyFill="1" applyBorder="1" applyAlignment="1">
      <alignment horizontal="distributed" vertical="center" wrapText="1"/>
    </xf>
    <xf numFmtId="0" fontId="6" fillId="0" borderId="50" xfId="2" applyFont="1" applyFill="1" applyBorder="1" applyAlignment="1">
      <alignment horizontal="distributed" vertical="center" wrapText="1"/>
    </xf>
    <xf numFmtId="0" fontId="5" fillId="0" borderId="0" xfId="3" applyFont="1" applyFill="1" applyAlignment="1" applyProtection="1">
      <alignment horizontal="left" vertical="center"/>
    </xf>
    <xf numFmtId="0" fontId="6" fillId="0" borderId="51" xfId="2" applyFont="1" applyFill="1" applyBorder="1" applyAlignment="1">
      <alignment horizontal="distributed" vertical="center" wrapText="1"/>
    </xf>
    <xf numFmtId="38" fontId="6" fillId="0" borderId="52" xfId="1" applyFont="1" applyFill="1" applyBorder="1" applyAlignment="1">
      <alignment horizontal="right" vertical="center" wrapText="1"/>
    </xf>
    <xf numFmtId="0" fontId="16" fillId="0" borderId="10" xfId="2" applyFont="1" applyFill="1" applyBorder="1" applyAlignment="1">
      <alignment horizontal="distributed" vertical="center"/>
    </xf>
    <xf numFmtId="176" fontId="16" fillId="0" borderId="11" xfId="2" applyNumberFormat="1" applyFont="1" applyFill="1" applyBorder="1" applyAlignment="1">
      <alignment horizontal="right" vertical="center" shrinkToFit="1"/>
    </xf>
    <xf numFmtId="176" fontId="16" fillId="0" borderId="11" xfId="2" applyNumberFormat="1" applyFont="1" applyFill="1" applyBorder="1" applyAlignment="1">
      <alignment horizontal="right" vertical="center"/>
    </xf>
    <xf numFmtId="176" fontId="16" fillId="0" borderId="12" xfId="2" applyNumberFormat="1" applyFont="1" applyFill="1" applyBorder="1" applyAlignment="1">
      <alignment horizontal="right" vertical="center"/>
    </xf>
    <xf numFmtId="176" fontId="16" fillId="0" borderId="13" xfId="1" applyNumberFormat="1" applyFont="1" applyFill="1" applyBorder="1" applyAlignment="1">
      <alignment horizontal="right" vertical="center"/>
    </xf>
    <xf numFmtId="176" fontId="16" fillId="0" borderId="11" xfId="1" applyNumberFormat="1" applyFont="1" applyFill="1" applyBorder="1" applyAlignment="1">
      <alignment horizontal="right" vertical="center"/>
    </xf>
    <xf numFmtId="176" fontId="16" fillId="0" borderId="10" xfId="1" applyNumberFormat="1" applyFont="1" applyFill="1" applyBorder="1" applyAlignment="1">
      <alignment horizontal="right" vertical="center"/>
    </xf>
    <xf numFmtId="0" fontId="17" fillId="0" borderId="0" xfId="2" applyFont="1" applyFill="1"/>
    <xf numFmtId="0" fontId="9" fillId="0" borderId="0" xfId="5" applyFont="1" applyFill="1" applyAlignment="1" applyProtection="1">
      <alignment horizontal="center" vertical="center"/>
    </xf>
    <xf numFmtId="0" fontId="11" fillId="0" borderId="9" xfId="5" applyFont="1" applyFill="1" applyBorder="1" applyAlignment="1" applyProtection="1">
      <alignment horizontal="left" vertical="center"/>
    </xf>
    <xf numFmtId="0" fontId="11" fillId="0" borderId="0" xfId="5" applyFont="1" applyFill="1" applyBorder="1" applyAlignment="1">
      <alignment horizontal="left" vertical="center"/>
    </xf>
    <xf numFmtId="0" fontId="21" fillId="0" borderId="0" xfId="2" applyFont="1" applyFill="1" applyBorder="1" applyAlignment="1">
      <alignment horizontal="center" vertical="center"/>
    </xf>
    <xf numFmtId="0" fontId="22" fillId="0" borderId="59" xfId="2" applyFont="1" applyFill="1" applyBorder="1" applyAlignment="1">
      <alignment vertical="top" wrapText="1"/>
    </xf>
    <xf numFmtId="0" fontId="22" fillId="0" borderId="60" xfId="2" applyFont="1" applyFill="1" applyBorder="1" applyAlignment="1">
      <alignment vertical="top" wrapText="1"/>
    </xf>
    <xf numFmtId="0" fontId="22" fillId="0" borderId="61" xfId="2" applyFont="1" applyFill="1" applyBorder="1" applyAlignment="1">
      <alignment vertical="top" wrapText="1"/>
    </xf>
    <xf numFmtId="0" fontId="15" fillId="0" borderId="3" xfId="2" applyNumberFormat="1" applyFont="1" applyFill="1" applyBorder="1" applyAlignment="1">
      <alignment horizontal="center" vertical="center"/>
    </xf>
    <xf numFmtId="0" fontId="15" fillId="0" borderId="2" xfId="2" applyNumberFormat="1" applyFont="1" applyFill="1" applyBorder="1" applyAlignment="1">
      <alignment horizontal="center" vertical="center"/>
    </xf>
    <xf numFmtId="0" fontId="15" fillId="0" borderId="62" xfId="2" applyNumberFormat="1" applyFont="1" applyFill="1" applyBorder="1" applyAlignment="1">
      <alignment horizontal="center" vertical="center"/>
    </xf>
    <xf numFmtId="0" fontId="15" fillId="0" borderId="63" xfId="2" applyNumberFormat="1" applyFont="1" applyFill="1" applyBorder="1" applyAlignment="1">
      <alignment horizontal="center" vertical="center"/>
    </xf>
    <xf numFmtId="0" fontId="15" fillId="0" borderId="64" xfId="2" applyNumberFormat="1" applyFont="1" applyFill="1" applyBorder="1" applyAlignment="1">
      <alignment horizontal="center" vertical="center"/>
    </xf>
    <xf numFmtId="0" fontId="15" fillId="0" borderId="65" xfId="2" applyNumberFormat="1" applyFont="1" applyFill="1" applyBorder="1" applyAlignment="1">
      <alignment horizontal="center" vertical="center"/>
    </xf>
    <xf numFmtId="0" fontId="19" fillId="0" borderId="56" xfId="2" applyFont="1" applyFill="1" applyBorder="1" applyAlignment="1">
      <alignment horizontal="center" vertical="center"/>
    </xf>
    <xf numFmtId="0" fontId="20" fillId="0" borderId="54" xfId="2" applyFont="1" applyFill="1" applyBorder="1" applyAlignment="1">
      <alignment horizontal="center" vertical="center"/>
    </xf>
    <xf numFmtId="0" fontId="20" fillId="0" borderId="13" xfId="2" applyFont="1" applyFill="1" applyBorder="1" applyAlignment="1">
      <alignment horizontal="center" vertical="center"/>
    </xf>
    <xf numFmtId="0" fontId="15" fillId="0" borderId="0" xfId="2" applyFont="1" applyFill="1" applyBorder="1" applyAlignment="1">
      <alignment horizontal="center" vertical="center"/>
    </xf>
    <xf numFmtId="0" fontId="19" fillId="0" borderId="2" xfId="2" applyFont="1" applyFill="1" applyBorder="1" applyAlignment="1">
      <alignment horizontal="center" vertical="center" wrapText="1"/>
    </xf>
    <xf numFmtId="0" fontId="19" fillId="0" borderId="64" xfId="2" applyFont="1" applyFill="1" applyBorder="1" applyAlignment="1">
      <alignment horizontal="center" vertical="center" wrapText="1"/>
    </xf>
    <xf numFmtId="0" fontId="15" fillId="0" borderId="17" xfId="2" applyFont="1" applyFill="1" applyBorder="1" applyAlignment="1">
      <alignment horizontal="center" vertical="center" wrapText="1"/>
    </xf>
    <xf numFmtId="0" fontId="15" fillId="0" borderId="2" xfId="2" applyFont="1" applyFill="1" applyBorder="1" applyAlignment="1">
      <alignment horizontal="center" vertical="center" wrapText="1"/>
    </xf>
    <xf numFmtId="0" fontId="15" fillId="0" borderId="19" xfId="2" applyFont="1" applyFill="1" applyBorder="1" applyAlignment="1">
      <alignment horizontal="center" vertical="center" wrapText="1"/>
    </xf>
    <xf numFmtId="0" fontId="15" fillId="0" borderId="66" xfId="2" applyFont="1" applyFill="1" applyBorder="1" applyAlignment="1">
      <alignment horizontal="center" vertical="center" wrapText="1"/>
    </xf>
    <xf numFmtId="0" fontId="15" fillId="0" borderId="64" xfId="2" applyFont="1" applyFill="1" applyBorder="1" applyAlignment="1">
      <alignment horizontal="center" vertical="center" wrapText="1"/>
    </xf>
    <xf numFmtId="0" fontId="15" fillId="0" borderId="67" xfId="2" applyFont="1" applyFill="1" applyBorder="1" applyAlignment="1">
      <alignment horizontal="center" vertical="center" wrapText="1"/>
    </xf>
    <xf numFmtId="0" fontId="18" fillId="0" borderId="15" xfId="2" applyFont="1" applyFill="1" applyBorder="1" applyAlignment="1">
      <alignment horizontal="center" vertical="center"/>
    </xf>
    <xf numFmtId="0" fontId="18" fillId="0" borderId="54" xfId="2" applyFont="1" applyFill="1" applyBorder="1" applyAlignment="1">
      <alignment horizontal="center" vertical="center"/>
    </xf>
    <xf numFmtId="0" fontId="18" fillId="0" borderId="13" xfId="2" applyFont="1" applyFill="1" applyBorder="1" applyAlignment="1">
      <alignment horizontal="center" vertical="center"/>
    </xf>
    <xf numFmtId="0" fontId="15" fillId="0" borderId="0" xfId="2" applyFont="1" applyFill="1" applyBorder="1" applyAlignment="1">
      <alignment horizontal="left"/>
    </xf>
    <xf numFmtId="0" fontId="18" fillId="0" borderId="15" xfId="2" applyFont="1" applyFill="1" applyBorder="1" applyAlignment="1">
      <alignment horizontal="center" vertical="center" wrapText="1"/>
    </xf>
    <xf numFmtId="0" fontId="19" fillId="0" borderId="55" xfId="2" applyFont="1" applyFill="1" applyBorder="1" applyAlignment="1">
      <alignment horizontal="distributed" vertical="center" indent="5"/>
    </xf>
    <xf numFmtId="0" fontId="19" fillId="0" borderId="56" xfId="2" applyFont="1" applyFill="1" applyBorder="1" applyAlignment="1">
      <alignment horizontal="distributed" vertical="center" indent="5"/>
    </xf>
    <xf numFmtId="0" fontId="19" fillId="0" borderId="57" xfId="2" applyFont="1" applyFill="1" applyBorder="1" applyAlignment="1">
      <alignment horizontal="distributed" vertical="center" indent="5"/>
    </xf>
    <xf numFmtId="0" fontId="20" fillId="0" borderId="50" xfId="2" applyFont="1" applyFill="1" applyBorder="1" applyAlignment="1">
      <alignment horizontal="center" vertical="center"/>
    </xf>
    <xf numFmtId="0" fontId="18" fillId="0" borderId="58" xfId="2" applyFont="1" applyFill="1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13" fillId="0" borderId="0" xfId="0" applyFont="1" applyFill="1" applyAlignment="1">
      <alignment horizontal="center" vertical="center"/>
    </xf>
    <xf numFmtId="0" fontId="6" fillId="0" borderId="68" xfId="0" applyFont="1" applyFill="1" applyBorder="1" applyAlignment="1">
      <alignment horizontal="left" vertical="center" wrapText="1"/>
    </xf>
    <xf numFmtId="0" fontId="6" fillId="0" borderId="69" xfId="0" applyFont="1" applyFill="1" applyBorder="1" applyAlignment="1">
      <alignment horizontal="left" vertical="center"/>
    </xf>
    <xf numFmtId="0" fontId="6" fillId="0" borderId="20" xfId="0" applyFont="1" applyFill="1" applyBorder="1" applyAlignment="1" applyProtection="1">
      <alignment horizontal="distributed" vertical="center" indent="5"/>
    </xf>
    <xf numFmtId="0" fontId="6" fillId="0" borderId="21" xfId="0" applyFont="1" applyFill="1" applyBorder="1" applyAlignment="1" applyProtection="1">
      <alignment horizontal="distributed" vertical="center" indent="5"/>
    </xf>
    <xf numFmtId="0" fontId="6" fillId="0" borderId="23" xfId="0" applyFont="1" applyFill="1" applyBorder="1" applyAlignment="1" applyProtection="1">
      <alignment horizontal="distributed" vertical="center" indent="5"/>
    </xf>
    <xf numFmtId="0" fontId="6" fillId="0" borderId="21" xfId="0" applyFont="1" applyFill="1" applyBorder="1" applyAlignment="1" applyProtection="1">
      <alignment horizontal="distributed" vertical="center" indent="6"/>
    </xf>
    <xf numFmtId="0" fontId="6" fillId="0" borderId="20" xfId="0" applyFont="1" applyFill="1" applyBorder="1" applyAlignment="1">
      <alignment horizontal="distributed" vertical="center" indent="3"/>
    </xf>
    <xf numFmtId="0" fontId="6" fillId="0" borderId="21" xfId="0" applyFont="1" applyFill="1" applyBorder="1" applyAlignment="1">
      <alignment horizontal="distributed" vertical="center" indent="3"/>
    </xf>
    <xf numFmtId="0" fontId="6" fillId="0" borderId="23" xfId="0" applyFont="1" applyFill="1" applyBorder="1" applyAlignment="1">
      <alignment horizontal="distributed" vertical="center" indent="3"/>
    </xf>
    <xf numFmtId="176" fontId="16" fillId="0" borderId="15" xfId="2" applyNumberFormat="1" applyFont="1" applyFill="1" applyBorder="1" applyAlignment="1">
      <alignment horizontal="right" vertical="center"/>
    </xf>
    <xf numFmtId="176" fontId="16" fillId="0" borderId="14" xfId="2" applyNumberFormat="1" applyFont="1" applyFill="1" applyBorder="1" applyAlignment="1">
      <alignment horizontal="right" vertical="center"/>
    </xf>
    <xf numFmtId="176" fontId="15" fillId="0" borderId="36" xfId="2" applyNumberFormat="1" applyFont="1" applyFill="1" applyBorder="1" applyAlignment="1">
      <alignment horizontal="right" vertical="center"/>
    </xf>
    <xf numFmtId="176" fontId="15" fillId="0" borderId="37" xfId="2" applyNumberFormat="1" applyFont="1" applyFill="1" applyBorder="1" applyAlignment="1">
      <alignment horizontal="right" vertical="center"/>
    </xf>
    <xf numFmtId="38" fontId="6" fillId="0" borderId="40" xfId="1" applyFont="1" applyFill="1" applyBorder="1" applyAlignment="1">
      <alignment horizontal="right" vertical="center" wrapText="1"/>
    </xf>
    <xf numFmtId="38" fontId="6" fillId="0" borderId="41" xfId="1" applyFont="1" applyFill="1" applyBorder="1" applyAlignment="1">
      <alignment horizontal="right" vertical="center" wrapText="1"/>
    </xf>
    <xf numFmtId="38" fontId="6" fillId="0" borderId="42" xfId="1" applyFont="1" applyFill="1" applyBorder="1" applyAlignment="1">
      <alignment horizontal="right" vertical="center" wrapText="1"/>
    </xf>
    <xf numFmtId="38" fontId="6" fillId="0" borderId="45" xfId="1" applyFont="1" applyFill="1" applyBorder="1" applyAlignment="1">
      <alignment horizontal="right" vertical="center" wrapText="1"/>
    </xf>
    <xf numFmtId="38" fontId="6" fillId="0" borderId="11" xfId="1" applyFont="1" applyFill="1" applyBorder="1" applyAlignment="1">
      <alignment horizontal="right" vertical="center" wrapText="1"/>
    </xf>
    <xf numFmtId="38" fontId="6" fillId="0" borderId="14" xfId="1" applyFont="1" applyFill="1" applyBorder="1" applyAlignment="1">
      <alignment horizontal="right" vertical="center" wrapText="1"/>
    </xf>
    <xf numFmtId="38" fontId="6" fillId="0" borderId="46" xfId="1" applyFont="1" applyFill="1" applyBorder="1" applyAlignment="1">
      <alignment horizontal="right" vertical="center" wrapText="1"/>
    </xf>
    <xf numFmtId="38" fontId="6" fillId="0" borderId="47" xfId="1" applyFont="1" applyFill="1" applyBorder="1" applyAlignment="1">
      <alignment horizontal="right" vertical="center" wrapText="1"/>
    </xf>
    <xf numFmtId="38" fontId="6" fillId="0" borderId="48" xfId="1" applyFont="1" applyFill="1" applyBorder="1" applyAlignment="1">
      <alignment horizontal="right" vertical="center" wrapText="1"/>
    </xf>
    <xf numFmtId="38" fontId="6" fillId="0" borderId="13" xfId="1" applyFont="1" applyFill="1" applyBorder="1" applyAlignment="1">
      <alignment horizontal="right" vertical="center" wrapText="1"/>
    </xf>
    <xf numFmtId="38" fontId="6" fillId="0" borderId="15" xfId="1" applyFont="1" applyFill="1" applyBorder="1" applyAlignment="1">
      <alignment horizontal="right" vertical="center" wrapText="1"/>
    </xf>
    <xf numFmtId="38" fontId="6" fillId="0" borderId="13" xfId="1" applyFont="1" applyFill="1" applyBorder="1" applyAlignment="1">
      <alignment horizontal="right" vertical="center"/>
    </xf>
    <xf numFmtId="38" fontId="6" fillId="0" borderId="11" xfId="1" applyFont="1" applyFill="1" applyBorder="1" applyAlignment="1">
      <alignment horizontal="right" vertical="center"/>
    </xf>
    <xf numFmtId="38" fontId="6" fillId="0" borderId="14" xfId="1" applyFont="1" applyFill="1" applyBorder="1" applyAlignment="1">
      <alignment horizontal="right" vertical="center"/>
    </xf>
    <xf numFmtId="38" fontId="6" fillId="0" borderId="15" xfId="1" applyFont="1" applyFill="1" applyBorder="1" applyAlignment="1">
      <alignment horizontal="right" vertical="center"/>
    </xf>
    <xf numFmtId="38" fontId="6" fillId="0" borderId="45" xfId="1" applyFont="1" applyFill="1" applyBorder="1" applyAlignment="1">
      <alignment horizontal="right" vertical="center"/>
    </xf>
    <xf numFmtId="38" fontId="6" fillId="0" borderId="53" xfId="1" applyFont="1" applyFill="1" applyBorder="1" applyAlignment="1">
      <alignment horizontal="right" vertical="center"/>
    </xf>
    <xf numFmtId="38" fontId="6" fillId="0" borderId="33" xfId="1" applyFont="1" applyFill="1" applyBorder="1" applyAlignment="1">
      <alignment horizontal="right" vertical="center"/>
    </xf>
    <xf numFmtId="38" fontId="6" fillId="0" borderId="37" xfId="1" applyFont="1" applyFill="1" applyBorder="1" applyAlignment="1">
      <alignment horizontal="right" vertical="center"/>
    </xf>
  </cellXfs>
  <cellStyles count="6">
    <cellStyle name="桁区切り" xfId="1" builtinId="6"/>
    <cellStyle name="標準" xfId="0" builtinId="0"/>
    <cellStyle name="標準_【H22入力用】p53航路統計" xfId="2"/>
    <cellStyle name="標準_ＡＩＳ情報提供実施状況（様式３） (2)_H18 AIS報告1-12(本部提出用)_H18 AIS報告1-12(本部提出用)" xfId="3"/>
    <cellStyle name="標準_情報提供集計平成18年" xfId="4"/>
    <cellStyle name="標準_第４部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​​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9525" cap="flat" cmpd="sng" algn="ctr">
          <a:solidFill>
            <a:srgbClr xmlns:mc="http://schemas.openxmlformats.org/markup-compatibility/2006" xmlns:a14="http://schemas.microsoft.com/office/drawing/2010/main" val="0A0000" mc:Ignorable="a14" a14:legacySpreadsheetColorIndex="10"/>
          </a:solidFill>
          <a:prstDash val="dash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410000" mc:Ignorable="a14" a14:legacySpreadsheetColorIndex="65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noFill/>
        <a:ln w="9525" cap="flat" cmpd="sng" algn="ctr">
          <a:solidFill>
            <a:srgbClr xmlns:mc="http://schemas.openxmlformats.org/markup-compatibility/2006" xmlns:a14="http://schemas.microsoft.com/office/drawing/2010/main" val="0A0000" mc:Ignorable="a14" a14:legacySpreadsheetColorIndex="10"/>
          </a:solidFill>
          <a:prstDash val="dash"/>
          <a:round/>
          <a:headEnd type="none" w="med" len="med"/>
          <a:tailEnd type="none" w="med" len="med"/>
        </a:ln>
        <a:effectLst/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410000" mc:Ignorable="a14" a14:legacySpreadsheetColorIndex="65"/>
              </a:solidFill>
            </a14:hiddenFill>
          </a:ex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view="pageBreakPreview" zoomScaleNormal="100" workbookViewId="0">
      <selection sqref="A1:L1"/>
    </sheetView>
  </sheetViews>
  <sheetFormatPr defaultColWidth="8" defaultRowHeight="12" x14ac:dyDescent="0.15"/>
  <cols>
    <col min="1" max="1" width="4.125" style="42" customWidth="1"/>
    <col min="2" max="2" width="15" style="42" customWidth="1"/>
    <col min="3" max="3" width="4" style="42" customWidth="1"/>
    <col min="4" max="4" width="3" style="42" customWidth="1"/>
    <col min="5" max="5" width="15" style="42" customWidth="1"/>
    <col min="6" max="6" width="3.875" style="42" customWidth="1"/>
    <col min="7" max="7" width="3" style="42" customWidth="1"/>
    <col min="8" max="8" width="15" style="42" customWidth="1"/>
    <col min="9" max="9" width="3.75" style="42" customWidth="1"/>
    <col min="10" max="10" width="3" style="42" customWidth="1"/>
    <col min="11" max="11" width="15" style="42" customWidth="1"/>
    <col min="12" max="12" width="4.25" style="42" customWidth="1"/>
    <col min="13" max="16384" width="8" style="42"/>
  </cols>
  <sheetData>
    <row r="1" spans="1:15" ht="48.75" customHeight="1" x14ac:dyDescent="0.15">
      <c r="A1" s="113" t="s">
        <v>60</v>
      </c>
      <c r="B1" s="113"/>
      <c r="C1" s="113"/>
      <c r="D1" s="113"/>
      <c r="E1" s="113"/>
      <c r="F1" s="113"/>
      <c r="G1" s="113"/>
      <c r="H1" s="113"/>
      <c r="I1" s="113"/>
      <c r="J1" s="113"/>
      <c r="K1" s="113"/>
      <c r="L1" s="113"/>
    </row>
    <row r="2" spans="1:15" s="45" customFormat="1" ht="28.5" customHeight="1" thickBot="1" x14ac:dyDescent="0.2">
      <c r="A2" s="114" t="s">
        <v>35</v>
      </c>
      <c r="B2" s="114"/>
      <c r="C2" s="114"/>
      <c r="D2" s="114"/>
      <c r="E2" s="114"/>
      <c r="F2" s="43"/>
      <c r="G2" s="43"/>
      <c r="H2" s="43"/>
      <c r="I2" s="43"/>
      <c r="J2" s="43"/>
      <c r="K2" s="43"/>
      <c r="L2" s="44" t="s">
        <v>36</v>
      </c>
    </row>
    <row r="3" spans="1:15" s="45" customFormat="1" ht="24" customHeight="1" thickBot="1" x14ac:dyDescent="0.2">
      <c r="A3" s="46"/>
      <c r="B3" s="15" t="s">
        <v>37</v>
      </c>
      <c r="C3" s="47"/>
      <c r="D3" s="46"/>
      <c r="E3" s="15" t="s">
        <v>38</v>
      </c>
      <c r="F3" s="47"/>
      <c r="G3" s="48"/>
      <c r="H3" s="15" t="s">
        <v>39</v>
      </c>
      <c r="I3" s="49"/>
      <c r="J3" s="47"/>
      <c r="K3" s="15" t="s">
        <v>40</v>
      </c>
      <c r="L3" s="50"/>
    </row>
    <row r="4" spans="1:15" s="45" customFormat="1" ht="24" customHeight="1" thickBot="1" x14ac:dyDescent="0.2">
      <c r="A4" s="51"/>
      <c r="B4" s="52" t="s">
        <v>41</v>
      </c>
      <c r="C4" s="53"/>
      <c r="D4" s="46"/>
      <c r="E4" s="16">
        <f>SUM(E5:E15)</f>
        <v>118047</v>
      </c>
      <c r="F4" s="54"/>
      <c r="G4" s="55"/>
      <c r="H4" s="16">
        <v>117529</v>
      </c>
      <c r="I4" s="56"/>
      <c r="J4" s="57"/>
      <c r="K4" s="58">
        <f>E4/H4</f>
        <v>1.0044074228488289</v>
      </c>
      <c r="L4" s="59"/>
      <c r="O4" s="60"/>
    </row>
    <row r="5" spans="1:15" s="45" customFormat="1" ht="23.1" customHeight="1" x14ac:dyDescent="0.15">
      <c r="A5" s="61"/>
      <c r="B5" s="62" t="s">
        <v>42</v>
      </c>
      <c r="C5" s="63"/>
      <c r="D5" s="46"/>
      <c r="E5" s="17">
        <f>管制業務統計P54!B7</f>
        <v>28250</v>
      </c>
      <c r="F5" s="64"/>
      <c r="G5" s="65"/>
      <c r="H5" s="17">
        <v>28758</v>
      </c>
      <c r="I5" s="66"/>
      <c r="J5" s="67"/>
      <c r="K5" s="68">
        <f>E5/H5</f>
        <v>0.98233535016343276</v>
      </c>
      <c r="L5" s="69"/>
      <c r="O5" s="60"/>
    </row>
    <row r="6" spans="1:15" s="45" customFormat="1" ht="23.1" customHeight="1" x14ac:dyDescent="0.15">
      <c r="A6" s="61"/>
      <c r="B6" s="62" t="s">
        <v>43</v>
      </c>
      <c r="C6" s="63"/>
      <c r="D6" s="61"/>
      <c r="E6" s="18">
        <f>管制業務統計P54!B8</f>
        <v>9976</v>
      </c>
      <c r="F6" s="70"/>
      <c r="G6" s="65"/>
      <c r="H6" s="18">
        <v>10158</v>
      </c>
      <c r="I6" s="66"/>
      <c r="J6" s="67"/>
      <c r="K6" s="71">
        <f>E6/H6</f>
        <v>0.98208308722189408</v>
      </c>
      <c r="L6" s="69"/>
      <c r="O6" s="60"/>
    </row>
    <row r="7" spans="1:15" s="45" customFormat="1" ht="23.1" customHeight="1" x14ac:dyDescent="0.15">
      <c r="A7" s="61"/>
      <c r="B7" s="62" t="s">
        <v>44</v>
      </c>
      <c r="C7" s="63"/>
      <c r="D7" s="61"/>
      <c r="E7" s="18">
        <f>管制業務統計P54!B9</f>
        <v>21717</v>
      </c>
      <c r="F7" s="70"/>
      <c r="G7" s="65"/>
      <c r="H7" s="18">
        <v>21423</v>
      </c>
      <c r="I7" s="66"/>
      <c r="J7" s="67"/>
      <c r="K7" s="71">
        <f t="shared" ref="K7:K14" si="0">E7/H7</f>
        <v>1.0137235681277132</v>
      </c>
      <c r="L7" s="69"/>
      <c r="O7" s="60"/>
    </row>
    <row r="8" spans="1:15" s="45" customFormat="1" ht="23.1" customHeight="1" x14ac:dyDescent="0.15">
      <c r="A8" s="61"/>
      <c r="B8" s="62" t="s">
        <v>45</v>
      </c>
      <c r="C8" s="63"/>
      <c r="D8" s="61"/>
      <c r="E8" s="18">
        <f>管制業務統計P54!B10</f>
        <v>12099</v>
      </c>
      <c r="F8" s="70"/>
      <c r="G8" s="65"/>
      <c r="H8" s="18">
        <v>11346</v>
      </c>
      <c r="I8" s="66"/>
      <c r="J8" s="67"/>
      <c r="K8" s="71">
        <f t="shared" si="0"/>
        <v>1.0663670015864621</v>
      </c>
      <c r="L8" s="69"/>
      <c r="O8" s="60"/>
    </row>
    <row r="9" spans="1:15" s="45" customFormat="1" ht="23.1" customHeight="1" x14ac:dyDescent="0.15">
      <c r="A9" s="61"/>
      <c r="B9" s="62" t="s">
        <v>46</v>
      </c>
      <c r="C9" s="63"/>
      <c r="D9" s="61"/>
      <c r="E9" s="18">
        <f>管制業務統計P54!B11</f>
        <v>10935</v>
      </c>
      <c r="F9" s="70"/>
      <c r="G9" s="65"/>
      <c r="H9" s="18">
        <v>10971</v>
      </c>
      <c r="I9" s="66"/>
      <c r="J9" s="67"/>
      <c r="K9" s="71">
        <f t="shared" si="0"/>
        <v>0.99671862182116489</v>
      </c>
      <c r="L9" s="69"/>
      <c r="O9" s="60"/>
    </row>
    <row r="10" spans="1:15" s="45" customFormat="1" ht="23.1" customHeight="1" x14ac:dyDescent="0.15">
      <c r="A10" s="61"/>
      <c r="B10" s="72" t="s">
        <v>47</v>
      </c>
      <c r="C10" s="63"/>
      <c r="D10" s="61"/>
      <c r="E10" s="18">
        <f>管制業務統計P54!B12</f>
        <v>24</v>
      </c>
      <c r="F10" s="70"/>
      <c r="G10" s="65"/>
      <c r="H10" s="18">
        <v>31</v>
      </c>
      <c r="I10" s="66"/>
      <c r="J10" s="67"/>
      <c r="K10" s="71">
        <f t="shared" si="0"/>
        <v>0.77419354838709675</v>
      </c>
      <c r="L10" s="69"/>
      <c r="O10" s="60"/>
    </row>
    <row r="11" spans="1:15" s="45" customFormat="1" ht="23.1" customHeight="1" x14ac:dyDescent="0.15">
      <c r="A11" s="61"/>
      <c r="B11" s="62" t="s">
        <v>48</v>
      </c>
      <c r="C11" s="63"/>
      <c r="D11" s="61"/>
      <c r="E11" s="18">
        <f>管制業務統計P54!B13</f>
        <v>23</v>
      </c>
      <c r="F11" s="70"/>
      <c r="G11" s="65"/>
      <c r="H11" s="18">
        <v>26</v>
      </c>
      <c r="I11" s="66"/>
      <c r="J11" s="67"/>
      <c r="K11" s="71">
        <f t="shared" si="0"/>
        <v>0.88461538461538458</v>
      </c>
      <c r="L11" s="69"/>
      <c r="O11" s="60"/>
    </row>
    <row r="12" spans="1:15" s="45" customFormat="1" ht="23.1" customHeight="1" x14ac:dyDescent="0.15">
      <c r="A12" s="61"/>
      <c r="B12" s="62" t="s">
        <v>49</v>
      </c>
      <c r="C12" s="63"/>
      <c r="D12" s="61"/>
      <c r="E12" s="18">
        <f>管制業務統計P54!B14</f>
        <v>5461</v>
      </c>
      <c r="F12" s="70"/>
      <c r="G12" s="65"/>
      <c r="H12" s="18">
        <v>5423</v>
      </c>
      <c r="I12" s="66"/>
      <c r="J12" s="67"/>
      <c r="K12" s="71">
        <f t="shared" si="0"/>
        <v>1.0070071915913701</v>
      </c>
      <c r="L12" s="69"/>
      <c r="O12" s="60"/>
    </row>
    <row r="13" spans="1:15" s="45" customFormat="1" ht="23.1" customHeight="1" x14ac:dyDescent="0.15">
      <c r="A13" s="61"/>
      <c r="B13" s="62" t="s">
        <v>50</v>
      </c>
      <c r="C13" s="63"/>
      <c r="D13" s="61"/>
      <c r="E13" s="18">
        <f>管制業務統計P54!B15</f>
        <v>5415</v>
      </c>
      <c r="F13" s="70"/>
      <c r="G13" s="65"/>
      <c r="H13" s="18">
        <v>5443</v>
      </c>
      <c r="I13" s="66"/>
      <c r="J13" s="67"/>
      <c r="K13" s="71">
        <f t="shared" si="0"/>
        <v>0.99485577806356784</v>
      </c>
      <c r="L13" s="69"/>
      <c r="O13" s="60"/>
    </row>
    <row r="14" spans="1:15" s="45" customFormat="1" ht="23.1" customHeight="1" x14ac:dyDescent="0.15">
      <c r="A14" s="61"/>
      <c r="B14" s="62" t="s">
        <v>51</v>
      </c>
      <c r="C14" s="63"/>
      <c r="D14" s="61"/>
      <c r="E14" s="18">
        <f>管制業務統計P54!B16</f>
        <v>12954</v>
      </c>
      <c r="F14" s="70"/>
      <c r="G14" s="65"/>
      <c r="H14" s="18">
        <v>12603</v>
      </c>
      <c r="I14" s="66"/>
      <c r="J14" s="67"/>
      <c r="K14" s="71">
        <f t="shared" si="0"/>
        <v>1.0278505117829089</v>
      </c>
      <c r="L14" s="69"/>
      <c r="O14" s="60"/>
    </row>
    <row r="15" spans="1:15" s="45" customFormat="1" ht="23.1" customHeight="1" thickBot="1" x14ac:dyDescent="0.2">
      <c r="A15" s="73"/>
      <c r="B15" s="74" t="s">
        <v>52</v>
      </c>
      <c r="C15" s="75"/>
      <c r="D15" s="73"/>
      <c r="E15" s="19">
        <f>管制業務統計P54!B17</f>
        <v>11193</v>
      </c>
      <c r="F15" s="76"/>
      <c r="G15" s="77"/>
      <c r="H15" s="19">
        <v>11347</v>
      </c>
      <c r="I15" s="78"/>
      <c r="J15" s="79"/>
      <c r="K15" s="80">
        <f>E15/H15</f>
        <v>0.98642813078346703</v>
      </c>
      <c r="L15" s="81"/>
      <c r="O15" s="60"/>
    </row>
    <row r="16" spans="1:15" s="45" customFormat="1" ht="28.5" customHeight="1" x14ac:dyDescent="0.15">
      <c r="A16" s="82"/>
      <c r="B16" s="83"/>
      <c r="C16" s="82"/>
      <c r="D16" s="82"/>
      <c r="E16" s="84"/>
      <c r="F16" s="85"/>
      <c r="G16" s="85"/>
      <c r="H16" s="86" t="s">
        <v>53</v>
      </c>
      <c r="I16" s="82"/>
      <c r="J16" s="82"/>
      <c r="K16" s="87"/>
      <c r="L16" s="82"/>
    </row>
    <row r="18" spans="1:5" ht="13.5" x14ac:dyDescent="0.15">
      <c r="A18" s="115"/>
      <c r="B18" s="115"/>
      <c r="C18" s="115"/>
      <c r="D18" s="115"/>
      <c r="E18" s="115"/>
    </row>
  </sheetData>
  <mergeCells count="3">
    <mergeCell ref="A1:L1"/>
    <mergeCell ref="A2:E2"/>
    <mergeCell ref="A18:E18"/>
  </mergeCells>
  <phoneticPr fontId="8"/>
  <printOptions horizontalCentered="1"/>
  <pageMargins left="0.86614173228346458" right="0.6692913385826772" top="0.74803149606299213" bottom="0.59055118110236227" header="0.51181102362204722" footer="0.51181102362204722"/>
  <pageSetup paperSize="9" scale="8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4"/>
  <dimension ref="A1:AB18"/>
  <sheetViews>
    <sheetView showGridLines="0" view="pageBreakPreview" zoomScaleNormal="85" zoomScaleSheetLayoutView="100" workbookViewId="0">
      <pane xSplit="4" ySplit="5" topLeftCell="E6" activePane="bottomRight" state="frozen"/>
      <selection sqref="A1:L1"/>
      <selection pane="topRight" sqref="A1:L1"/>
      <selection pane="bottomLeft" sqref="A1:L1"/>
      <selection pane="bottomRight" sqref="A1:AB1"/>
    </sheetView>
  </sheetViews>
  <sheetFormatPr defaultRowHeight="13.5" x14ac:dyDescent="0.15"/>
  <cols>
    <col min="1" max="1" width="15.625" style="30" customWidth="1"/>
    <col min="2" max="28" width="7.25" style="41" customWidth="1"/>
    <col min="29" max="16384" width="9" style="30"/>
  </cols>
  <sheetData>
    <row r="1" spans="1:28" ht="28.5" customHeight="1" x14ac:dyDescent="0.15">
      <c r="A1" s="116" t="s">
        <v>71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</row>
    <row r="2" spans="1:28" ht="14.25" thickBot="1" x14ac:dyDescent="0.2">
      <c r="A2" s="31"/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129" t="s">
        <v>7</v>
      </c>
      <c r="AB2" s="129"/>
    </row>
    <row r="3" spans="1:28" ht="35.1" customHeight="1" x14ac:dyDescent="0.15">
      <c r="A3" s="117" t="s">
        <v>63</v>
      </c>
      <c r="B3" s="120" t="s">
        <v>8</v>
      </c>
      <c r="C3" s="121"/>
      <c r="D3" s="122"/>
      <c r="E3" s="126" t="s">
        <v>9</v>
      </c>
      <c r="F3" s="126"/>
      <c r="G3" s="126"/>
      <c r="H3" s="126"/>
      <c r="I3" s="126"/>
      <c r="J3" s="126"/>
      <c r="K3" s="126"/>
      <c r="L3" s="126"/>
      <c r="M3" s="126"/>
      <c r="N3" s="143" t="s">
        <v>10</v>
      </c>
      <c r="O3" s="144"/>
      <c r="P3" s="144"/>
      <c r="Q3" s="144"/>
      <c r="R3" s="144"/>
      <c r="S3" s="144"/>
      <c r="T3" s="144"/>
      <c r="U3" s="144"/>
      <c r="V3" s="145"/>
      <c r="W3" s="130" t="s">
        <v>32</v>
      </c>
      <c r="X3" s="130"/>
      <c r="Y3" s="130"/>
      <c r="Z3" s="132" t="s">
        <v>11</v>
      </c>
      <c r="AA3" s="133"/>
      <c r="AB3" s="134"/>
    </row>
    <row r="4" spans="1:28" ht="35.1" customHeight="1" x14ac:dyDescent="0.15">
      <c r="A4" s="118"/>
      <c r="B4" s="123"/>
      <c r="C4" s="124"/>
      <c r="D4" s="125"/>
      <c r="E4" s="127" t="s">
        <v>12</v>
      </c>
      <c r="F4" s="127"/>
      <c r="G4" s="128"/>
      <c r="H4" s="138" t="s">
        <v>13</v>
      </c>
      <c r="I4" s="139"/>
      <c r="J4" s="140"/>
      <c r="K4" s="142" t="s">
        <v>62</v>
      </c>
      <c r="L4" s="139"/>
      <c r="M4" s="139"/>
      <c r="N4" s="146" t="s">
        <v>12</v>
      </c>
      <c r="O4" s="127"/>
      <c r="P4" s="128"/>
      <c r="Q4" s="138" t="s">
        <v>13</v>
      </c>
      <c r="R4" s="139"/>
      <c r="S4" s="140"/>
      <c r="T4" s="142" t="s">
        <v>61</v>
      </c>
      <c r="U4" s="139"/>
      <c r="V4" s="147"/>
      <c r="W4" s="131"/>
      <c r="X4" s="131"/>
      <c r="Y4" s="131"/>
      <c r="Z4" s="135"/>
      <c r="AA4" s="136"/>
      <c r="AB4" s="137"/>
    </row>
    <row r="5" spans="1:28" s="39" customFormat="1" ht="35.1" customHeight="1" x14ac:dyDescent="0.15">
      <c r="A5" s="119"/>
      <c r="B5" s="33" t="s">
        <v>0</v>
      </c>
      <c r="C5" s="33" t="s">
        <v>5</v>
      </c>
      <c r="D5" s="34" t="s">
        <v>6</v>
      </c>
      <c r="E5" s="35" t="s">
        <v>0</v>
      </c>
      <c r="F5" s="33" t="s">
        <v>5</v>
      </c>
      <c r="G5" s="33" t="s">
        <v>6</v>
      </c>
      <c r="H5" s="33" t="s">
        <v>0</v>
      </c>
      <c r="I5" s="33" t="s">
        <v>5</v>
      </c>
      <c r="J5" s="33" t="s">
        <v>6</v>
      </c>
      <c r="K5" s="33" t="s">
        <v>0</v>
      </c>
      <c r="L5" s="33" t="s">
        <v>5</v>
      </c>
      <c r="M5" s="36" t="s">
        <v>6</v>
      </c>
      <c r="N5" s="37" t="s">
        <v>0</v>
      </c>
      <c r="O5" s="33" t="s">
        <v>5</v>
      </c>
      <c r="P5" s="33" t="s">
        <v>6</v>
      </c>
      <c r="Q5" s="33" t="s">
        <v>0</v>
      </c>
      <c r="R5" s="33" t="s">
        <v>5</v>
      </c>
      <c r="S5" s="33" t="s">
        <v>6</v>
      </c>
      <c r="T5" s="33" t="s">
        <v>0</v>
      </c>
      <c r="U5" s="33" t="s">
        <v>5</v>
      </c>
      <c r="V5" s="38" t="s">
        <v>6</v>
      </c>
      <c r="W5" s="35" t="s">
        <v>0</v>
      </c>
      <c r="X5" s="33" t="s">
        <v>5</v>
      </c>
      <c r="Y5" s="36" t="s">
        <v>6</v>
      </c>
      <c r="Z5" s="37" t="s">
        <v>0</v>
      </c>
      <c r="AA5" s="33" t="s">
        <v>5</v>
      </c>
      <c r="AB5" s="38" t="s">
        <v>6</v>
      </c>
    </row>
    <row r="6" spans="1:28" s="40" customFormat="1" ht="33" customHeight="1" x14ac:dyDescent="0.15">
      <c r="A6" s="20" t="s">
        <v>14</v>
      </c>
      <c r="B6" s="21">
        <f>SUM(E6,N6,W6,Z6)</f>
        <v>118047</v>
      </c>
      <c r="C6" s="22">
        <f>SUM(F6,O6,X6,AA6)</f>
        <v>64897</v>
      </c>
      <c r="D6" s="23">
        <f>SUM(G6,P6,Y6,AB6)</f>
        <v>53150</v>
      </c>
      <c r="E6" s="24">
        <f>SUM(E7:E17)</f>
        <v>22008</v>
      </c>
      <c r="F6" s="25">
        <f>SUM(F7:F17)</f>
        <v>2933</v>
      </c>
      <c r="G6" s="25">
        <f t="shared" ref="G6:O6" si="0">SUM(G7:G17)</f>
        <v>19075</v>
      </c>
      <c r="H6" s="25">
        <f>SUM(H7:H17)</f>
        <v>4905</v>
      </c>
      <c r="I6" s="25">
        <f>SUM(I7:I17)</f>
        <v>1113</v>
      </c>
      <c r="J6" s="25">
        <f>SUM(J7:J17)</f>
        <v>3792</v>
      </c>
      <c r="K6" s="25">
        <f t="shared" si="0"/>
        <v>17103</v>
      </c>
      <c r="L6" s="25">
        <f t="shared" si="0"/>
        <v>1820</v>
      </c>
      <c r="M6" s="25">
        <f t="shared" si="0"/>
        <v>15283</v>
      </c>
      <c r="N6" s="26">
        <f t="shared" si="0"/>
        <v>72955</v>
      </c>
      <c r="O6" s="25">
        <f t="shared" si="0"/>
        <v>44337</v>
      </c>
      <c r="P6" s="25">
        <f t="shared" ref="P6:AB6" si="1">SUM(P7:P17)</f>
        <v>28618</v>
      </c>
      <c r="Q6" s="25">
        <f t="shared" si="1"/>
        <v>1159</v>
      </c>
      <c r="R6" s="25">
        <f t="shared" si="1"/>
        <v>25</v>
      </c>
      <c r="S6" s="25">
        <f t="shared" si="1"/>
        <v>1134</v>
      </c>
      <c r="T6" s="25">
        <f t="shared" si="1"/>
        <v>71796</v>
      </c>
      <c r="U6" s="25">
        <f t="shared" si="1"/>
        <v>44312</v>
      </c>
      <c r="V6" s="27">
        <f t="shared" si="1"/>
        <v>27484</v>
      </c>
      <c r="W6" s="24">
        <f t="shared" si="1"/>
        <v>21056</v>
      </c>
      <c r="X6" s="25">
        <f t="shared" si="1"/>
        <v>15638</v>
      </c>
      <c r="Y6" s="28">
        <f t="shared" si="1"/>
        <v>5418</v>
      </c>
      <c r="Z6" s="26">
        <f t="shared" si="1"/>
        <v>2028</v>
      </c>
      <c r="AA6" s="25">
        <f t="shared" si="1"/>
        <v>1989</v>
      </c>
      <c r="AB6" s="29">
        <f t="shared" si="1"/>
        <v>39</v>
      </c>
    </row>
    <row r="7" spans="1:28" ht="33" customHeight="1" x14ac:dyDescent="0.15">
      <c r="A7" s="88" t="s">
        <v>15</v>
      </c>
      <c r="B7" s="21">
        <f t="shared" ref="B7:B17" si="2">SUM(E7,N7,W7,Z7)</f>
        <v>28250</v>
      </c>
      <c r="C7" s="22">
        <f t="shared" ref="C7:C17" si="3">SUM(F7,O7,X7,AA7)</f>
        <v>11591</v>
      </c>
      <c r="D7" s="23">
        <f t="shared" ref="D7:D17" si="4">SUM(G7,P7,Y7,AB7)</f>
        <v>16659</v>
      </c>
      <c r="E7" s="24">
        <f>SUM(F7:G7)</f>
        <v>9070</v>
      </c>
      <c r="F7" s="25">
        <f>SUM(I7,L7)</f>
        <v>998</v>
      </c>
      <c r="G7" s="25">
        <f>SUM(J7,M7)</f>
        <v>8072</v>
      </c>
      <c r="H7" s="25">
        <f>SUM(I7:J7)</f>
        <v>1941</v>
      </c>
      <c r="I7" s="22">
        <f>0+32+0+101+11+120+0+3+0+41+11+120</f>
        <v>439</v>
      </c>
      <c r="J7" s="22">
        <f>49+100+166+133+392+20+40+0+71+134+397</f>
        <v>1502</v>
      </c>
      <c r="K7" s="25">
        <f>SUM(L7:M7)</f>
        <v>7129</v>
      </c>
      <c r="L7" s="22">
        <f>95+142+151+171</f>
        <v>559</v>
      </c>
      <c r="M7" s="28">
        <f>2093+1103+2193+1181</f>
        <v>6570</v>
      </c>
      <c r="N7" s="26">
        <f>SUM(O7:P7)</f>
        <v>13664</v>
      </c>
      <c r="O7" s="25">
        <f>SUM(R7,U7)</f>
        <v>6727</v>
      </c>
      <c r="P7" s="25">
        <f>SUM(S7,V7)</f>
        <v>6937</v>
      </c>
      <c r="Q7" s="25">
        <f>SUM(R7:S7)</f>
        <v>509</v>
      </c>
      <c r="R7" s="22">
        <f>5+3</f>
        <v>8</v>
      </c>
      <c r="S7" s="22">
        <f>283+218</f>
        <v>501</v>
      </c>
      <c r="T7" s="25">
        <f>SUM(U7:V7)</f>
        <v>13155</v>
      </c>
      <c r="U7" s="22">
        <f>3363+3356</f>
        <v>6719</v>
      </c>
      <c r="V7" s="27">
        <f>3186+3250</f>
        <v>6436</v>
      </c>
      <c r="W7" s="24">
        <f>SUM(X7:Y7)</f>
        <v>5504</v>
      </c>
      <c r="X7" s="22">
        <f>1475+2379</f>
        <v>3854</v>
      </c>
      <c r="Y7" s="28">
        <f>697+953</f>
        <v>1650</v>
      </c>
      <c r="Z7" s="26">
        <f>SUM(AA7:AB7)</f>
        <v>12</v>
      </c>
      <c r="AA7" s="22">
        <f>6+6</f>
        <v>12</v>
      </c>
      <c r="AB7" s="27">
        <v>0</v>
      </c>
    </row>
    <row r="8" spans="1:28" s="112" customFormat="1" ht="33" customHeight="1" x14ac:dyDescent="0.15">
      <c r="A8" s="105" t="s">
        <v>16</v>
      </c>
      <c r="B8" s="106">
        <f t="shared" si="2"/>
        <v>9976</v>
      </c>
      <c r="C8" s="107">
        <f t="shared" si="3"/>
        <v>4116</v>
      </c>
      <c r="D8" s="108">
        <f t="shared" si="4"/>
        <v>5860</v>
      </c>
      <c r="E8" s="109">
        <f t="shared" ref="E8:E17" si="5">SUM(F8:G8)</f>
        <v>3092</v>
      </c>
      <c r="F8" s="110">
        <f t="shared" ref="F8:F17" si="6">SUM(I8,L8)</f>
        <v>350</v>
      </c>
      <c r="G8" s="110">
        <f t="shared" ref="G8:G17" si="7">SUM(J8,M8)</f>
        <v>2742</v>
      </c>
      <c r="H8" s="110">
        <f t="shared" ref="H8:H17" si="8">SUM(I8:J8)</f>
        <v>926</v>
      </c>
      <c r="I8" s="107">
        <f>0+12+75+10+98</f>
        <v>195</v>
      </c>
      <c r="J8" s="107">
        <f>42+97+0+125+109+358</f>
        <v>731</v>
      </c>
      <c r="K8" s="110">
        <f t="shared" ref="K8:K17" si="9">SUM(L8:M8)</f>
        <v>2166</v>
      </c>
      <c r="L8" s="107">
        <f>91+64</f>
        <v>155</v>
      </c>
      <c r="M8" s="160">
        <f>1171+840</f>
        <v>2011</v>
      </c>
      <c r="N8" s="111">
        <f t="shared" ref="N8:N17" si="10">SUM(O8:P8)</f>
        <v>5098</v>
      </c>
      <c r="O8" s="110">
        <f t="shared" ref="O8:O17" si="11">SUM(R8,U8)</f>
        <v>2652</v>
      </c>
      <c r="P8" s="110">
        <f t="shared" ref="P8:P17" si="12">SUM(S8,V8)</f>
        <v>2446</v>
      </c>
      <c r="Q8" s="110">
        <f t="shared" ref="Q8:Q17" si="13">SUM(R8:S8)</f>
        <v>227</v>
      </c>
      <c r="R8" s="107">
        <v>5</v>
      </c>
      <c r="S8" s="107">
        <v>222</v>
      </c>
      <c r="T8" s="110">
        <f t="shared" ref="T8:T17" si="14">SUM(U8:V8)</f>
        <v>4871</v>
      </c>
      <c r="U8" s="107">
        <v>2647</v>
      </c>
      <c r="V8" s="161">
        <v>2224</v>
      </c>
      <c r="W8" s="109">
        <f t="shared" ref="W8:W17" si="15">SUM(X8:Y8)</f>
        <v>1783</v>
      </c>
      <c r="X8" s="107">
        <v>1111</v>
      </c>
      <c r="Y8" s="160">
        <v>672</v>
      </c>
      <c r="Z8" s="111">
        <f t="shared" ref="Z8:Z17" si="16">SUM(AA8:AB8)</f>
        <v>3</v>
      </c>
      <c r="AA8" s="107">
        <v>3</v>
      </c>
      <c r="AB8" s="161">
        <v>0</v>
      </c>
    </row>
    <row r="9" spans="1:28" ht="33" customHeight="1" x14ac:dyDescent="0.15">
      <c r="A9" s="88" t="s">
        <v>17</v>
      </c>
      <c r="B9" s="21">
        <f t="shared" si="2"/>
        <v>21717</v>
      </c>
      <c r="C9" s="22">
        <f t="shared" si="3"/>
        <v>7079</v>
      </c>
      <c r="D9" s="23">
        <f t="shared" si="4"/>
        <v>14638</v>
      </c>
      <c r="E9" s="24">
        <f t="shared" si="5"/>
        <v>4543</v>
      </c>
      <c r="F9" s="25">
        <f t="shared" si="6"/>
        <v>393</v>
      </c>
      <c r="G9" s="25">
        <f t="shared" si="7"/>
        <v>4150</v>
      </c>
      <c r="H9" s="25">
        <f t="shared" si="8"/>
        <v>941</v>
      </c>
      <c r="I9" s="22">
        <v>210</v>
      </c>
      <c r="J9" s="22">
        <v>731</v>
      </c>
      <c r="K9" s="25">
        <f t="shared" si="9"/>
        <v>3602</v>
      </c>
      <c r="L9" s="22">
        <v>183</v>
      </c>
      <c r="M9" s="28">
        <v>3419</v>
      </c>
      <c r="N9" s="26">
        <f t="shared" si="10"/>
        <v>14011</v>
      </c>
      <c r="O9" s="25">
        <f t="shared" si="11"/>
        <v>4147</v>
      </c>
      <c r="P9" s="25">
        <f t="shared" si="12"/>
        <v>9864</v>
      </c>
      <c r="Q9" s="25">
        <f t="shared" si="13"/>
        <v>132</v>
      </c>
      <c r="R9" s="22">
        <v>12</v>
      </c>
      <c r="S9" s="22">
        <v>120</v>
      </c>
      <c r="T9" s="25">
        <f t="shared" si="14"/>
        <v>13879</v>
      </c>
      <c r="U9" s="22">
        <v>4135</v>
      </c>
      <c r="V9" s="27">
        <v>9744</v>
      </c>
      <c r="W9" s="24">
        <f t="shared" si="15"/>
        <v>3108</v>
      </c>
      <c r="X9" s="22">
        <v>2503</v>
      </c>
      <c r="Y9" s="28">
        <v>605</v>
      </c>
      <c r="Z9" s="26">
        <f t="shared" si="16"/>
        <v>55</v>
      </c>
      <c r="AA9" s="22">
        <v>36</v>
      </c>
      <c r="AB9" s="27">
        <v>19</v>
      </c>
    </row>
    <row r="10" spans="1:28" s="112" customFormat="1" ht="33" customHeight="1" x14ac:dyDescent="0.15">
      <c r="A10" s="105" t="s">
        <v>18</v>
      </c>
      <c r="B10" s="106">
        <f t="shared" si="2"/>
        <v>12099</v>
      </c>
      <c r="C10" s="107">
        <f t="shared" si="3"/>
        <v>8705</v>
      </c>
      <c r="D10" s="108">
        <f t="shared" si="4"/>
        <v>3394</v>
      </c>
      <c r="E10" s="109">
        <f t="shared" si="5"/>
        <v>1759</v>
      </c>
      <c r="F10" s="110">
        <f t="shared" si="6"/>
        <v>392</v>
      </c>
      <c r="G10" s="110">
        <f t="shared" si="7"/>
        <v>1367</v>
      </c>
      <c r="H10" s="110">
        <f t="shared" si="8"/>
        <v>485</v>
      </c>
      <c r="I10" s="107">
        <v>89</v>
      </c>
      <c r="J10" s="107">
        <v>396</v>
      </c>
      <c r="K10" s="110">
        <f t="shared" si="9"/>
        <v>1274</v>
      </c>
      <c r="L10" s="107">
        <v>303</v>
      </c>
      <c r="M10" s="160">
        <v>971</v>
      </c>
      <c r="N10" s="111">
        <f t="shared" si="10"/>
        <v>7568</v>
      </c>
      <c r="O10" s="110">
        <f t="shared" si="11"/>
        <v>5989</v>
      </c>
      <c r="P10" s="110">
        <f t="shared" si="12"/>
        <v>1579</v>
      </c>
      <c r="Q10" s="110">
        <f t="shared" si="13"/>
        <v>92</v>
      </c>
      <c r="R10" s="107">
        <v>0</v>
      </c>
      <c r="S10" s="107">
        <v>92</v>
      </c>
      <c r="T10" s="110">
        <f t="shared" si="14"/>
        <v>7476</v>
      </c>
      <c r="U10" s="107">
        <v>5989</v>
      </c>
      <c r="V10" s="161">
        <v>1487</v>
      </c>
      <c r="W10" s="109">
        <f t="shared" si="15"/>
        <v>2588</v>
      </c>
      <c r="X10" s="107">
        <v>2145</v>
      </c>
      <c r="Y10" s="160">
        <v>443</v>
      </c>
      <c r="Z10" s="111">
        <f t="shared" si="16"/>
        <v>184</v>
      </c>
      <c r="AA10" s="107">
        <f>41+138</f>
        <v>179</v>
      </c>
      <c r="AB10" s="161">
        <f>1+4</f>
        <v>5</v>
      </c>
    </row>
    <row r="11" spans="1:28" ht="33" customHeight="1" x14ac:dyDescent="0.15">
      <c r="A11" s="88" t="s">
        <v>19</v>
      </c>
      <c r="B11" s="21">
        <f t="shared" si="2"/>
        <v>10935</v>
      </c>
      <c r="C11" s="22">
        <f t="shared" si="3"/>
        <v>8216</v>
      </c>
      <c r="D11" s="23">
        <f t="shared" si="4"/>
        <v>2719</v>
      </c>
      <c r="E11" s="24">
        <f t="shared" si="5"/>
        <v>1152</v>
      </c>
      <c r="F11" s="25">
        <f t="shared" si="6"/>
        <v>266</v>
      </c>
      <c r="G11" s="25">
        <f t="shared" si="7"/>
        <v>886</v>
      </c>
      <c r="H11" s="25">
        <f t="shared" si="8"/>
        <v>225</v>
      </c>
      <c r="I11" s="22">
        <f>32+27+3</f>
        <v>62</v>
      </c>
      <c r="J11" s="22">
        <f>15+9+42+56+41</f>
        <v>163</v>
      </c>
      <c r="K11" s="25">
        <f t="shared" si="9"/>
        <v>927</v>
      </c>
      <c r="L11" s="22">
        <f>143+61</f>
        <v>204</v>
      </c>
      <c r="M11" s="28">
        <f>333+390</f>
        <v>723</v>
      </c>
      <c r="N11" s="26">
        <f t="shared" si="10"/>
        <v>7379</v>
      </c>
      <c r="O11" s="25">
        <f t="shared" si="11"/>
        <v>6035</v>
      </c>
      <c r="P11" s="25">
        <f t="shared" si="12"/>
        <v>1344</v>
      </c>
      <c r="Q11" s="25">
        <f t="shared" si="13"/>
        <v>50</v>
      </c>
      <c r="R11" s="22">
        <v>0</v>
      </c>
      <c r="S11" s="22">
        <v>50</v>
      </c>
      <c r="T11" s="25">
        <f t="shared" si="14"/>
        <v>7329</v>
      </c>
      <c r="U11" s="22">
        <v>6035</v>
      </c>
      <c r="V11" s="27">
        <v>1294</v>
      </c>
      <c r="W11" s="24">
        <f t="shared" si="15"/>
        <v>2377</v>
      </c>
      <c r="X11" s="22">
        <v>1888</v>
      </c>
      <c r="Y11" s="28">
        <v>489</v>
      </c>
      <c r="Z11" s="26">
        <f t="shared" si="16"/>
        <v>27</v>
      </c>
      <c r="AA11" s="22">
        <v>27</v>
      </c>
      <c r="AB11" s="27">
        <v>0</v>
      </c>
    </row>
    <row r="12" spans="1:28" ht="33" customHeight="1" x14ac:dyDescent="0.15">
      <c r="A12" s="88" t="s">
        <v>20</v>
      </c>
      <c r="B12" s="21">
        <f t="shared" si="2"/>
        <v>24</v>
      </c>
      <c r="C12" s="22">
        <f t="shared" si="3"/>
        <v>23</v>
      </c>
      <c r="D12" s="23">
        <f t="shared" si="4"/>
        <v>1</v>
      </c>
      <c r="E12" s="24">
        <f t="shared" si="5"/>
        <v>0</v>
      </c>
      <c r="F12" s="25">
        <f t="shared" si="6"/>
        <v>0</v>
      </c>
      <c r="G12" s="25">
        <f t="shared" si="7"/>
        <v>0</v>
      </c>
      <c r="H12" s="25">
        <f t="shared" si="8"/>
        <v>0</v>
      </c>
      <c r="I12" s="22">
        <v>0</v>
      </c>
      <c r="J12" s="22">
        <v>0</v>
      </c>
      <c r="K12" s="25">
        <f t="shared" si="9"/>
        <v>0</v>
      </c>
      <c r="L12" s="22">
        <v>0</v>
      </c>
      <c r="M12" s="28">
        <v>0</v>
      </c>
      <c r="N12" s="26">
        <f t="shared" si="10"/>
        <v>10</v>
      </c>
      <c r="O12" s="25">
        <f t="shared" si="11"/>
        <v>9</v>
      </c>
      <c r="P12" s="25">
        <f t="shared" si="12"/>
        <v>1</v>
      </c>
      <c r="Q12" s="25">
        <f t="shared" si="13"/>
        <v>0</v>
      </c>
      <c r="R12" s="22">
        <v>0</v>
      </c>
      <c r="S12" s="22">
        <v>0</v>
      </c>
      <c r="T12" s="25">
        <f t="shared" si="14"/>
        <v>10</v>
      </c>
      <c r="U12" s="22">
        <v>9</v>
      </c>
      <c r="V12" s="27">
        <v>1</v>
      </c>
      <c r="W12" s="24">
        <f t="shared" si="15"/>
        <v>13</v>
      </c>
      <c r="X12" s="22">
        <v>13</v>
      </c>
      <c r="Y12" s="28">
        <v>0</v>
      </c>
      <c r="Z12" s="26">
        <f t="shared" si="16"/>
        <v>1</v>
      </c>
      <c r="AA12" s="22">
        <v>1</v>
      </c>
      <c r="AB12" s="27">
        <v>0</v>
      </c>
    </row>
    <row r="13" spans="1:28" ht="33" customHeight="1" x14ac:dyDescent="0.15">
      <c r="A13" s="88" t="s">
        <v>21</v>
      </c>
      <c r="B13" s="21">
        <f t="shared" si="2"/>
        <v>23</v>
      </c>
      <c r="C13" s="22">
        <f t="shared" si="3"/>
        <v>16</v>
      </c>
      <c r="D13" s="23">
        <f t="shared" si="4"/>
        <v>7</v>
      </c>
      <c r="E13" s="24">
        <f t="shared" si="5"/>
        <v>0</v>
      </c>
      <c r="F13" s="25">
        <f t="shared" si="6"/>
        <v>0</v>
      </c>
      <c r="G13" s="25">
        <f t="shared" si="7"/>
        <v>0</v>
      </c>
      <c r="H13" s="25">
        <f t="shared" si="8"/>
        <v>0</v>
      </c>
      <c r="I13" s="22">
        <v>0</v>
      </c>
      <c r="J13" s="22">
        <v>0</v>
      </c>
      <c r="K13" s="25">
        <f t="shared" si="9"/>
        <v>0</v>
      </c>
      <c r="L13" s="22">
        <v>0</v>
      </c>
      <c r="M13" s="28">
        <v>0</v>
      </c>
      <c r="N13" s="26">
        <f t="shared" si="10"/>
        <v>13</v>
      </c>
      <c r="O13" s="25">
        <f t="shared" si="11"/>
        <v>6</v>
      </c>
      <c r="P13" s="25">
        <f t="shared" si="12"/>
        <v>7</v>
      </c>
      <c r="Q13" s="25">
        <f t="shared" si="13"/>
        <v>0</v>
      </c>
      <c r="R13" s="22">
        <v>0</v>
      </c>
      <c r="S13" s="22">
        <v>0</v>
      </c>
      <c r="T13" s="25">
        <f t="shared" si="14"/>
        <v>13</v>
      </c>
      <c r="U13" s="22">
        <v>6</v>
      </c>
      <c r="V13" s="27">
        <v>7</v>
      </c>
      <c r="W13" s="24">
        <f t="shared" si="15"/>
        <v>9</v>
      </c>
      <c r="X13" s="22">
        <v>9</v>
      </c>
      <c r="Y13" s="28">
        <v>0</v>
      </c>
      <c r="Z13" s="26">
        <f t="shared" si="16"/>
        <v>1</v>
      </c>
      <c r="AA13" s="22">
        <v>1</v>
      </c>
      <c r="AB13" s="27">
        <v>0</v>
      </c>
    </row>
    <row r="14" spans="1:28" ht="33" customHeight="1" x14ac:dyDescent="0.15">
      <c r="A14" s="88" t="s">
        <v>22</v>
      </c>
      <c r="B14" s="21">
        <f t="shared" si="2"/>
        <v>5461</v>
      </c>
      <c r="C14" s="22">
        <f t="shared" si="3"/>
        <v>3924</v>
      </c>
      <c r="D14" s="23">
        <f t="shared" si="4"/>
        <v>1537</v>
      </c>
      <c r="E14" s="24">
        <f t="shared" si="5"/>
        <v>685</v>
      </c>
      <c r="F14" s="25">
        <f t="shared" si="6"/>
        <v>162</v>
      </c>
      <c r="G14" s="25">
        <f t="shared" si="7"/>
        <v>523</v>
      </c>
      <c r="H14" s="25">
        <f t="shared" si="8"/>
        <v>139</v>
      </c>
      <c r="I14" s="22">
        <f>0+29+26</f>
        <v>55</v>
      </c>
      <c r="J14" s="22">
        <f>9+5+40+16+14</f>
        <v>84</v>
      </c>
      <c r="K14" s="25">
        <f t="shared" si="9"/>
        <v>546</v>
      </c>
      <c r="L14" s="22">
        <f>94+13</f>
        <v>107</v>
      </c>
      <c r="M14" s="28">
        <f>232+207</f>
        <v>439</v>
      </c>
      <c r="N14" s="26">
        <f t="shared" si="10"/>
        <v>3757</v>
      </c>
      <c r="O14" s="25">
        <f t="shared" si="11"/>
        <v>3006</v>
      </c>
      <c r="P14" s="25">
        <f t="shared" si="12"/>
        <v>751</v>
      </c>
      <c r="Q14" s="25">
        <f t="shared" si="13"/>
        <v>42</v>
      </c>
      <c r="R14" s="22">
        <v>0</v>
      </c>
      <c r="S14" s="22">
        <v>42</v>
      </c>
      <c r="T14" s="25">
        <f t="shared" si="14"/>
        <v>3715</v>
      </c>
      <c r="U14" s="22">
        <v>3006</v>
      </c>
      <c r="V14" s="27">
        <v>709</v>
      </c>
      <c r="W14" s="24">
        <f t="shared" si="15"/>
        <v>1005</v>
      </c>
      <c r="X14" s="22">
        <v>742</v>
      </c>
      <c r="Y14" s="28">
        <v>263</v>
      </c>
      <c r="Z14" s="26">
        <f t="shared" si="16"/>
        <v>14</v>
      </c>
      <c r="AA14" s="22">
        <v>14</v>
      </c>
      <c r="AB14" s="27">
        <v>0</v>
      </c>
    </row>
    <row r="15" spans="1:28" ht="33" customHeight="1" x14ac:dyDescent="0.15">
      <c r="A15" s="88" t="s">
        <v>23</v>
      </c>
      <c r="B15" s="21">
        <f t="shared" si="2"/>
        <v>5415</v>
      </c>
      <c r="C15" s="22">
        <f t="shared" si="3"/>
        <v>4042</v>
      </c>
      <c r="D15" s="23">
        <f t="shared" si="4"/>
        <v>1373</v>
      </c>
      <c r="E15" s="24">
        <f t="shared" si="5"/>
        <v>472</v>
      </c>
      <c r="F15" s="25">
        <f t="shared" si="6"/>
        <v>113</v>
      </c>
      <c r="G15" s="25">
        <f t="shared" si="7"/>
        <v>359</v>
      </c>
      <c r="H15" s="25">
        <f t="shared" si="8"/>
        <v>55</v>
      </c>
      <c r="I15" s="22">
        <f>0+3+1</f>
        <v>4</v>
      </c>
      <c r="J15" s="22">
        <f>6+8+2+14+21</f>
        <v>51</v>
      </c>
      <c r="K15" s="25">
        <f t="shared" si="9"/>
        <v>417</v>
      </c>
      <c r="L15" s="22">
        <f>67+42</f>
        <v>109</v>
      </c>
      <c r="M15" s="28">
        <f>131+177</f>
        <v>308</v>
      </c>
      <c r="N15" s="26">
        <f t="shared" si="10"/>
        <v>3750</v>
      </c>
      <c r="O15" s="25">
        <f t="shared" si="11"/>
        <v>3010</v>
      </c>
      <c r="P15" s="25">
        <f t="shared" si="12"/>
        <v>740</v>
      </c>
      <c r="Q15" s="25">
        <f t="shared" si="13"/>
        <v>24</v>
      </c>
      <c r="R15" s="22">
        <v>0</v>
      </c>
      <c r="S15" s="22">
        <v>24</v>
      </c>
      <c r="T15" s="25">
        <f t="shared" si="14"/>
        <v>3726</v>
      </c>
      <c r="U15" s="22">
        <v>3010</v>
      </c>
      <c r="V15" s="27">
        <v>716</v>
      </c>
      <c r="W15" s="24">
        <f t="shared" si="15"/>
        <v>1182</v>
      </c>
      <c r="X15" s="22">
        <v>908</v>
      </c>
      <c r="Y15" s="28">
        <v>274</v>
      </c>
      <c r="Z15" s="26">
        <f t="shared" si="16"/>
        <v>11</v>
      </c>
      <c r="AA15" s="22">
        <v>11</v>
      </c>
      <c r="AB15" s="27">
        <v>0</v>
      </c>
    </row>
    <row r="16" spans="1:28" ht="33" customHeight="1" x14ac:dyDescent="0.15">
      <c r="A16" s="88" t="s">
        <v>24</v>
      </c>
      <c r="B16" s="21">
        <f t="shared" si="2"/>
        <v>12954</v>
      </c>
      <c r="C16" s="22">
        <f t="shared" si="3"/>
        <v>8889</v>
      </c>
      <c r="D16" s="23">
        <f t="shared" si="4"/>
        <v>4065</v>
      </c>
      <c r="E16" s="24">
        <f t="shared" si="5"/>
        <v>744</v>
      </c>
      <c r="F16" s="25">
        <f t="shared" si="6"/>
        <v>195</v>
      </c>
      <c r="G16" s="25">
        <f t="shared" si="7"/>
        <v>549</v>
      </c>
      <c r="H16" s="25">
        <f t="shared" si="8"/>
        <v>187</v>
      </c>
      <c r="I16" s="22">
        <f>0+32+27</f>
        <v>59</v>
      </c>
      <c r="J16" s="22">
        <f>15+13+42+29+29</f>
        <v>128</v>
      </c>
      <c r="K16" s="25">
        <f t="shared" si="9"/>
        <v>557</v>
      </c>
      <c r="L16" s="22">
        <f>104+32</f>
        <v>136</v>
      </c>
      <c r="M16" s="28">
        <f>215+206</f>
        <v>421</v>
      </c>
      <c r="N16" s="26">
        <f t="shared" si="10"/>
        <v>11453</v>
      </c>
      <c r="O16" s="25">
        <f t="shared" si="11"/>
        <v>8031</v>
      </c>
      <c r="P16" s="25">
        <f t="shared" si="12"/>
        <v>3422</v>
      </c>
      <c r="Q16" s="25">
        <f t="shared" si="13"/>
        <v>65</v>
      </c>
      <c r="R16" s="22">
        <v>0</v>
      </c>
      <c r="S16" s="22">
        <v>65</v>
      </c>
      <c r="T16" s="25">
        <f t="shared" si="14"/>
        <v>11388</v>
      </c>
      <c r="U16" s="22">
        <v>8031</v>
      </c>
      <c r="V16" s="27">
        <v>3357</v>
      </c>
      <c r="W16" s="24">
        <f t="shared" si="15"/>
        <v>755</v>
      </c>
      <c r="X16" s="22">
        <v>661</v>
      </c>
      <c r="Y16" s="28">
        <v>94</v>
      </c>
      <c r="Z16" s="26">
        <f t="shared" si="16"/>
        <v>2</v>
      </c>
      <c r="AA16" s="22">
        <v>2</v>
      </c>
      <c r="AB16" s="27">
        <v>0</v>
      </c>
    </row>
    <row r="17" spans="1:28" ht="33" customHeight="1" thickBot="1" x14ac:dyDescent="0.2">
      <c r="A17" s="89" t="s">
        <v>25</v>
      </c>
      <c r="B17" s="90">
        <f t="shared" si="2"/>
        <v>11193</v>
      </c>
      <c r="C17" s="91">
        <f t="shared" si="3"/>
        <v>8296</v>
      </c>
      <c r="D17" s="92">
        <f t="shared" si="4"/>
        <v>2897</v>
      </c>
      <c r="E17" s="93">
        <f t="shared" si="5"/>
        <v>491</v>
      </c>
      <c r="F17" s="94">
        <f t="shared" si="6"/>
        <v>64</v>
      </c>
      <c r="G17" s="94">
        <f t="shared" si="7"/>
        <v>427</v>
      </c>
      <c r="H17" s="94">
        <f t="shared" si="8"/>
        <v>6</v>
      </c>
      <c r="I17" s="91">
        <v>0</v>
      </c>
      <c r="J17" s="91">
        <f>1+4+1</f>
        <v>6</v>
      </c>
      <c r="K17" s="94">
        <f t="shared" si="9"/>
        <v>485</v>
      </c>
      <c r="L17" s="91">
        <f>50+14</f>
        <v>64</v>
      </c>
      <c r="M17" s="162">
        <f>150+271</f>
        <v>421</v>
      </c>
      <c r="N17" s="95">
        <f t="shared" si="10"/>
        <v>6252</v>
      </c>
      <c r="O17" s="94">
        <f t="shared" si="11"/>
        <v>4725</v>
      </c>
      <c r="P17" s="94">
        <f t="shared" si="12"/>
        <v>1527</v>
      </c>
      <c r="Q17" s="94">
        <f t="shared" si="13"/>
        <v>18</v>
      </c>
      <c r="R17" s="91">
        <v>0</v>
      </c>
      <c r="S17" s="91">
        <v>18</v>
      </c>
      <c r="T17" s="94">
        <f t="shared" si="14"/>
        <v>6234</v>
      </c>
      <c r="U17" s="91">
        <v>4725</v>
      </c>
      <c r="V17" s="163">
        <v>1509</v>
      </c>
      <c r="W17" s="93">
        <f t="shared" si="15"/>
        <v>2732</v>
      </c>
      <c r="X17" s="91">
        <v>1804</v>
      </c>
      <c r="Y17" s="162">
        <v>928</v>
      </c>
      <c r="Z17" s="95">
        <f t="shared" si="16"/>
        <v>1718</v>
      </c>
      <c r="AA17" s="91">
        <f>15+1688</f>
        <v>1703</v>
      </c>
      <c r="AB17" s="163">
        <f>0+15</f>
        <v>15</v>
      </c>
    </row>
    <row r="18" spans="1:28" ht="21.75" customHeight="1" x14ac:dyDescent="0.15">
      <c r="A18" s="141" t="s">
        <v>33</v>
      </c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  <c r="S18" s="141"/>
      <c r="T18" s="141"/>
      <c r="U18" s="141"/>
      <c r="V18" s="141"/>
      <c r="W18" s="141"/>
      <c r="X18" s="141"/>
      <c r="Y18" s="141"/>
      <c r="Z18" s="141"/>
      <c r="AA18" s="141"/>
      <c r="AB18" s="141"/>
    </row>
  </sheetData>
  <mergeCells count="15">
    <mergeCell ref="A18:AB18"/>
    <mergeCell ref="K4:M4"/>
    <mergeCell ref="N3:V3"/>
    <mergeCell ref="N4:P4"/>
    <mergeCell ref="Q4:S4"/>
    <mergeCell ref="T4:V4"/>
    <mergeCell ref="A1:AB1"/>
    <mergeCell ref="A3:A5"/>
    <mergeCell ref="B3:D4"/>
    <mergeCell ref="E3:M3"/>
    <mergeCell ref="E4:G4"/>
    <mergeCell ref="AA2:AB2"/>
    <mergeCell ref="W3:Y4"/>
    <mergeCell ref="Z3:AB4"/>
    <mergeCell ref="H4:J4"/>
  </mergeCells>
  <phoneticPr fontId="2"/>
  <pageMargins left="0.59055118110236227" right="0.19685039370078741" top="0.74803149606299213" bottom="0.51181102362204722" header="0.51181102362204722" footer="0.27559055118110237"/>
  <pageSetup paperSize="9" scale="65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8"/>
  <sheetViews>
    <sheetView view="pageBreakPreview" zoomScale="55" zoomScaleNormal="40" zoomScaleSheetLayoutView="55" workbookViewId="0">
      <selection activeCell="C1" sqref="C1:S2"/>
    </sheetView>
  </sheetViews>
  <sheetFormatPr defaultRowHeight="13.5" x14ac:dyDescent="0.15"/>
  <cols>
    <col min="1" max="1" width="4" style="4" customWidth="1"/>
    <col min="2" max="2" width="26.25" style="4" customWidth="1"/>
    <col min="3" max="18" width="13.875" style="4" customWidth="1"/>
    <col min="19" max="19" width="4.625" style="4" customWidth="1"/>
    <col min="20" max="16384" width="9" style="4"/>
  </cols>
  <sheetData>
    <row r="1" spans="1:19" ht="25.5" customHeight="1" x14ac:dyDescent="0.15">
      <c r="A1" s="148"/>
      <c r="B1" s="148"/>
      <c r="C1" s="149" t="s">
        <v>34</v>
      </c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</row>
    <row r="2" spans="1:19" ht="25.5" customHeight="1" x14ac:dyDescent="0.15">
      <c r="A2" s="148"/>
      <c r="B2" s="148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</row>
    <row r="3" spans="1:19" ht="18" customHeight="1" thickBot="1" x14ac:dyDescent="0.2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t="31.5" customHeight="1" thickBot="1" x14ac:dyDescent="0.2">
      <c r="B4" s="151" t="s">
        <v>72</v>
      </c>
      <c r="C4" s="153" t="s">
        <v>26</v>
      </c>
      <c r="D4" s="154"/>
      <c r="E4" s="154"/>
      <c r="F4" s="154"/>
      <c r="G4" s="154"/>
      <c r="H4" s="154"/>
      <c r="I4" s="155"/>
      <c r="J4" s="156" t="s">
        <v>27</v>
      </c>
      <c r="K4" s="156"/>
      <c r="L4" s="156"/>
      <c r="M4" s="156"/>
      <c r="N4" s="156"/>
      <c r="O4" s="157" t="s">
        <v>28</v>
      </c>
      <c r="P4" s="158"/>
      <c r="Q4" s="158"/>
      <c r="R4" s="159"/>
      <c r="S4" s="3"/>
    </row>
    <row r="5" spans="1:19" ht="371.25" customHeight="1" thickBot="1" x14ac:dyDescent="0.2">
      <c r="B5" s="152"/>
      <c r="C5" s="5" t="s">
        <v>0</v>
      </c>
      <c r="D5" s="6" t="s">
        <v>65</v>
      </c>
      <c r="E5" s="7" t="s">
        <v>66</v>
      </c>
      <c r="F5" s="7" t="s">
        <v>67</v>
      </c>
      <c r="G5" s="7" t="s">
        <v>68</v>
      </c>
      <c r="H5" s="7" t="s">
        <v>69</v>
      </c>
      <c r="I5" s="8" t="s">
        <v>70</v>
      </c>
      <c r="J5" s="9" t="s">
        <v>0</v>
      </c>
      <c r="K5" s="6" t="s">
        <v>1</v>
      </c>
      <c r="L5" s="7" t="s">
        <v>2</v>
      </c>
      <c r="M5" s="7" t="s">
        <v>3</v>
      </c>
      <c r="N5" s="7" t="s">
        <v>4</v>
      </c>
      <c r="O5" s="10" t="s">
        <v>0</v>
      </c>
      <c r="P5" s="11" t="s">
        <v>29</v>
      </c>
      <c r="Q5" s="12" t="s">
        <v>30</v>
      </c>
      <c r="R5" s="13" t="s">
        <v>31</v>
      </c>
      <c r="S5" s="14"/>
    </row>
    <row r="6" spans="1:19" ht="80.45" customHeight="1" x14ac:dyDescent="0.15">
      <c r="B6" s="96" t="s">
        <v>54</v>
      </c>
      <c r="C6" s="97">
        <f t="shared" ref="C6:C11" si="0">SUM(D6:I6)</f>
        <v>17271</v>
      </c>
      <c r="D6" s="164">
        <v>5139</v>
      </c>
      <c r="E6" s="165">
        <v>331</v>
      </c>
      <c r="F6" s="165">
        <v>782</v>
      </c>
      <c r="G6" s="165">
        <v>260</v>
      </c>
      <c r="H6" s="165">
        <v>6404</v>
      </c>
      <c r="I6" s="166">
        <v>4355</v>
      </c>
      <c r="J6" s="97">
        <f t="shared" ref="J6:J12" si="1">SUM(K6:N6)</f>
        <v>3911</v>
      </c>
      <c r="K6" s="164">
        <v>2808</v>
      </c>
      <c r="L6" s="165">
        <v>22</v>
      </c>
      <c r="M6" s="165">
        <v>1028</v>
      </c>
      <c r="N6" s="166">
        <v>53</v>
      </c>
      <c r="O6" s="97">
        <f t="shared" ref="O6:O12" si="2">SUM(P6:R6)</f>
        <v>0</v>
      </c>
      <c r="P6" s="164">
        <v>0</v>
      </c>
      <c r="Q6" s="165">
        <v>0</v>
      </c>
      <c r="R6" s="166">
        <v>0</v>
      </c>
      <c r="S6" s="3"/>
    </row>
    <row r="7" spans="1:19" ht="80.45" customHeight="1" x14ac:dyDescent="0.15">
      <c r="B7" s="98" t="s">
        <v>64</v>
      </c>
      <c r="C7" s="99">
        <f t="shared" si="0"/>
        <v>402</v>
      </c>
      <c r="D7" s="167">
        <v>68</v>
      </c>
      <c r="E7" s="168">
        <v>13</v>
      </c>
      <c r="F7" s="168">
        <v>62</v>
      </c>
      <c r="G7" s="168">
        <v>55</v>
      </c>
      <c r="H7" s="168">
        <v>38</v>
      </c>
      <c r="I7" s="169">
        <v>166</v>
      </c>
      <c r="J7" s="99">
        <f t="shared" si="1"/>
        <v>58</v>
      </c>
      <c r="K7" s="170">
        <v>19</v>
      </c>
      <c r="L7" s="171">
        <v>3</v>
      </c>
      <c r="M7" s="171">
        <v>35</v>
      </c>
      <c r="N7" s="172">
        <v>1</v>
      </c>
      <c r="O7" s="99">
        <f t="shared" si="2"/>
        <v>0</v>
      </c>
      <c r="P7" s="167">
        <v>0</v>
      </c>
      <c r="Q7" s="171">
        <v>0</v>
      </c>
      <c r="R7" s="172">
        <v>0</v>
      </c>
      <c r="S7" s="3"/>
    </row>
    <row r="8" spans="1:19" ht="80.45" customHeight="1" x14ac:dyDescent="0.15">
      <c r="B8" s="100" t="s">
        <v>55</v>
      </c>
      <c r="C8" s="99">
        <f t="shared" si="0"/>
        <v>4962</v>
      </c>
      <c r="D8" s="167">
        <v>1001</v>
      </c>
      <c r="E8" s="168">
        <v>1184</v>
      </c>
      <c r="F8" s="168">
        <v>129</v>
      </c>
      <c r="G8" s="168">
        <v>150</v>
      </c>
      <c r="H8" s="168">
        <v>2068</v>
      </c>
      <c r="I8" s="169">
        <v>430</v>
      </c>
      <c r="J8" s="99">
        <f t="shared" si="1"/>
        <v>55</v>
      </c>
      <c r="K8" s="167">
        <v>47</v>
      </c>
      <c r="L8" s="168">
        <v>0</v>
      </c>
      <c r="M8" s="168">
        <v>8</v>
      </c>
      <c r="N8" s="169">
        <v>0</v>
      </c>
      <c r="O8" s="99">
        <f t="shared" si="2"/>
        <v>3</v>
      </c>
      <c r="P8" s="167">
        <v>3</v>
      </c>
      <c r="Q8" s="168">
        <v>0</v>
      </c>
      <c r="R8" s="169">
        <v>0</v>
      </c>
      <c r="S8" s="3"/>
    </row>
    <row r="9" spans="1:19" ht="80.45" customHeight="1" x14ac:dyDescent="0.15">
      <c r="B9" s="101" t="s">
        <v>56</v>
      </c>
      <c r="C9" s="99">
        <f t="shared" si="0"/>
        <v>499</v>
      </c>
      <c r="D9" s="173">
        <f>46+12</f>
        <v>58</v>
      </c>
      <c r="E9" s="168">
        <f>1+0</f>
        <v>1</v>
      </c>
      <c r="F9" s="168">
        <f>4+31</f>
        <v>35</v>
      </c>
      <c r="G9" s="168">
        <f>3+0</f>
        <v>3</v>
      </c>
      <c r="H9" s="168">
        <f>1+1</f>
        <v>2</v>
      </c>
      <c r="I9" s="169">
        <f>30+370</f>
        <v>400</v>
      </c>
      <c r="J9" s="99">
        <f t="shared" si="1"/>
        <v>41</v>
      </c>
      <c r="K9" s="173">
        <v>28</v>
      </c>
      <c r="L9" s="168">
        <v>0</v>
      </c>
      <c r="M9" s="168">
        <v>6</v>
      </c>
      <c r="N9" s="174">
        <v>7</v>
      </c>
      <c r="O9" s="99">
        <f t="shared" si="2"/>
        <v>2</v>
      </c>
      <c r="P9" s="167">
        <v>2</v>
      </c>
      <c r="Q9" s="168">
        <v>0</v>
      </c>
      <c r="R9" s="169">
        <v>0</v>
      </c>
      <c r="S9" s="3"/>
    </row>
    <row r="10" spans="1:19" ht="80.45" customHeight="1" x14ac:dyDescent="0.15">
      <c r="B10" s="101" t="s">
        <v>57</v>
      </c>
      <c r="C10" s="99">
        <f>SUM(D10:I10)</f>
        <v>5209</v>
      </c>
      <c r="D10" s="175">
        <v>331</v>
      </c>
      <c r="E10" s="176">
        <v>13</v>
      </c>
      <c r="F10" s="176">
        <v>243</v>
      </c>
      <c r="G10" s="176">
        <v>40</v>
      </c>
      <c r="H10" s="176">
        <v>3142</v>
      </c>
      <c r="I10" s="177">
        <v>1440</v>
      </c>
      <c r="J10" s="99">
        <f t="shared" si="1"/>
        <v>66</v>
      </c>
      <c r="K10" s="175">
        <v>39</v>
      </c>
      <c r="L10" s="176">
        <v>1</v>
      </c>
      <c r="M10" s="176">
        <v>4</v>
      </c>
      <c r="N10" s="178">
        <v>22</v>
      </c>
      <c r="O10" s="99">
        <f t="shared" si="2"/>
        <v>15</v>
      </c>
      <c r="P10" s="179">
        <v>15</v>
      </c>
      <c r="Q10" s="176">
        <v>0</v>
      </c>
      <c r="R10" s="177">
        <v>0</v>
      </c>
      <c r="S10" s="3"/>
    </row>
    <row r="11" spans="1:19" ht="80.45" customHeight="1" x14ac:dyDescent="0.15">
      <c r="B11" s="101" t="s">
        <v>58</v>
      </c>
      <c r="C11" s="99">
        <f t="shared" si="0"/>
        <v>1314</v>
      </c>
      <c r="D11" s="179">
        <v>724</v>
      </c>
      <c r="E11" s="176">
        <v>4</v>
      </c>
      <c r="F11" s="176">
        <v>61</v>
      </c>
      <c r="G11" s="176">
        <v>4</v>
      </c>
      <c r="H11" s="176">
        <v>301</v>
      </c>
      <c r="I11" s="177">
        <v>220</v>
      </c>
      <c r="J11" s="99">
        <f t="shared" si="1"/>
        <v>550</v>
      </c>
      <c r="K11" s="179">
        <v>79</v>
      </c>
      <c r="L11" s="176">
        <v>0</v>
      </c>
      <c r="M11" s="176">
        <v>20</v>
      </c>
      <c r="N11" s="177">
        <v>451</v>
      </c>
      <c r="O11" s="99">
        <f>SUM(P11:R11)</f>
        <v>0</v>
      </c>
      <c r="P11" s="179">
        <v>0</v>
      </c>
      <c r="Q11" s="176">
        <v>0</v>
      </c>
      <c r="R11" s="177">
        <v>0</v>
      </c>
      <c r="S11" s="102"/>
    </row>
    <row r="12" spans="1:19" ht="80.45" customHeight="1" thickBot="1" x14ac:dyDescent="0.2">
      <c r="B12" s="103" t="s">
        <v>59</v>
      </c>
      <c r="C12" s="104">
        <f>SUM(D12:I12)</f>
        <v>2658</v>
      </c>
      <c r="D12" s="180">
        <v>1638</v>
      </c>
      <c r="E12" s="181">
        <v>5</v>
      </c>
      <c r="F12" s="181">
        <v>453</v>
      </c>
      <c r="G12" s="181">
        <v>3</v>
      </c>
      <c r="H12" s="181">
        <v>428</v>
      </c>
      <c r="I12" s="182">
        <v>131</v>
      </c>
      <c r="J12" s="104">
        <f t="shared" si="1"/>
        <v>2619</v>
      </c>
      <c r="K12" s="180">
        <v>1819</v>
      </c>
      <c r="L12" s="181">
        <v>36</v>
      </c>
      <c r="M12" s="181">
        <v>512</v>
      </c>
      <c r="N12" s="182">
        <v>252</v>
      </c>
      <c r="O12" s="104">
        <f t="shared" si="2"/>
        <v>0</v>
      </c>
      <c r="P12" s="180">
        <v>0</v>
      </c>
      <c r="Q12" s="181">
        <v>0</v>
      </c>
      <c r="R12" s="182">
        <v>0</v>
      </c>
      <c r="S12" s="102"/>
    </row>
    <row r="13" spans="1:19" ht="7.5" customHeight="1" x14ac:dyDescent="0.15"/>
    <row r="14" spans="1:19" ht="21" customHeight="1" x14ac:dyDescent="0.15"/>
    <row r="15" spans="1:19" ht="21" customHeight="1" x14ac:dyDescent="0.15"/>
    <row r="16" spans="1:19" ht="21" customHeight="1" x14ac:dyDescent="0.15"/>
    <row r="17" ht="21" customHeight="1" x14ac:dyDescent="0.15"/>
    <row r="18" ht="21" customHeight="1" x14ac:dyDescent="0.15"/>
  </sheetData>
  <mergeCells count="6">
    <mergeCell ref="A1:B2"/>
    <mergeCell ref="C1:S2"/>
    <mergeCell ref="B4:B5"/>
    <mergeCell ref="C4:I4"/>
    <mergeCell ref="J4:N4"/>
    <mergeCell ref="O4:R4"/>
  </mergeCells>
  <phoneticPr fontId="2"/>
  <pageMargins left="0.61" right="0.75" top="0.54" bottom="1" header="0.51200000000000001" footer="0.51200000000000001"/>
  <pageSetup paperSize="9" scale="5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3</vt:i4>
      </vt:variant>
      <vt:variant>
        <vt:lpstr>名前付き一覧</vt:lpstr>
      </vt:variant>
      <vt:variant>
        <vt:i4>3</vt:i4>
      </vt:variant>
    </vt:vector>
  </HeadingPairs>
  <TitlesOfParts>
    <vt:vector size="6" baseType="lpstr">
      <vt:lpstr>管制船舶通航状況比較表P53</vt:lpstr>
      <vt:lpstr>管制業務統計P54</vt:lpstr>
      <vt:lpstr>管制業務統計 P55</vt:lpstr>
      <vt:lpstr>'管制業務統計 P55'!Print_Area</vt:lpstr>
      <vt:lpstr>管制業務統計P54!Print_Area</vt:lpstr>
      <vt:lpstr>管制船舶通航状況比較表P53!Print_Area</vt:lpstr>
    </vt:vector>
  </TitlesOfParts>
  <Company>海上保安庁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行政情報システム</dc:creator>
  <cp:lastModifiedBy>JCG User</cp:lastModifiedBy>
  <cp:lastPrinted>2020-02-03T03:40:38Z</cp:lastPrinted>
  <dcterms:created xsi:type="dcterms:W3CDTF">2010-06-16T10:29:48Z</dcterms:created>
  <dcterms:modified xsi:type="dcterms:W3CDTF">2020-02-13T08:29:00Z</dcterms:modified>
</cp:coreProperties>
</file>